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Summary" sheetId="1" r:id="rId1"/>
    <sheet name="Estimate" sheetId="2" r:id="rId2"/>
    <sheet name="Checks" sheetId="3" r:id="rId3"/>
    <sheet name="Heater Pads" sheetId="4" r:id="rId4"/>
    <sheet name="Coolant" sheetId="5" r:id="rId5"/>
    <sheet name="Models" sheetId="6" r:id="rId6"/>
  </sheets>
  <definedNames/>
  <calcPr fullCalcOnLoad="1"/>
</workbook>
</file>

<file path=xl/sharedStrings.xml><?xml version="1.0" encoding="utf-8"?>
<sst xmlns="http://schemas.openxmlformats.org/spreadsheetml/2006/main" count="357" uniqueCount="293">
  <si>
    <t>Object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</si>
  <si>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</si>
  <si>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</si>
  <si>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</si>
  <si>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</si>
  <si>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</si>
  <si>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</si>
  <si>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</si>
  <si>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</si>
  <si>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</si>
  <si>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mass (g)</t>
  </si>
  <si>
    <t>Modules on D9</t>
  </si>
  <si>
    <t>Modules on D8</t>
  </si>
  <si>
    <t>Modules on D7</t>
  </si>
  <si>
    <t>Modules on D6</t>
  </si>
  <si>
    <t>Modules on D5</t>
  </si>
  <si>
    <t>Modules on D4</t>
  </si>
  <si>
    <t>Modules on D3</t>
  </si>
  <si>
    <t>Modules on D2</t>
  </si>
  <si>
    <t>Modules on D1</t>
  </si>
  <si>
    <t>Num O</t>
  </si>
  <si>
    <t>Num M</t>
  </si>
  <si>
    <t>Num I</t>
  </si>
  <si>
    <t>Mass O</t>
  </si>
  <si>
    <t>Mass M</t>
  </si>
  <si>
    <t>Mass I</t>
  </si>
  <si>
    <t>Assume Short Middle = Middle</t>
  </si>
  <si>
    <t>Mass (kg)</t>
  </si>
  <si>
    <t>z Pos (mm)</t>
  </si>
  <si>
    <t>Ignore Nuts &amp; Washers</t>
  </si>
  <si>
    <t>Support Cyl</t>
  </si>
  <si>
    <t>Rear Wing</t>
  </si>
  <si>
    <t>Front Wing</t>
  </si>
  <si>
    <t>2 Infill Panels</t>
  </si>
  <si>
    <t>ITE</t>
  </si>
  <si>
    <t>4 ITE Clamps</t>
  </si>
  <si>
    <t>Workings</t>
  </si>
  <si>
    <t>Interconnects for D1</t>
  </si>
  <si>
    <t>Interconnects for D2</t>
  </si>
  <si>
    <t>Interconnects for D3</t>
  </si>
  <si>
    <t>Interconnects for D4</t>
  </si>
  <si>
    <t>Interconnects for D5</t>
  </si>
  <si>
    <t>Interconnects for D6</t>
  </si>
  <si>
    <t>Interconnects for D7</t>
  </si>
  <si>
    <t>Interconnects for D8</t>
  </si>
  <si>
    <t>Interconnects for D9</t>
  </si>
  <si>
    <t>mass (2 EC)</t>
  </si>
  <si>
    <t>Sub-Total (before Pit Installation)</t>
  </si>
  <si>
    <t>Modules (from Snow)</t>
  </si>
  <si>
    <t>Discs + Services (from Model)</t>
  </si>
  <si>
    <t>CF Structures (from PCI)</t>
  </si>
  <si>
    <t>Total Discs + Modules</t>
  </si>
  <si>
    <t>One End-cap</t>
  </si>
  <si>
    <t>PPF0</t>
  </si>
  <si>
    <t>LMTs (from Val)</t>
  </si>
  <si>
    <t>z1</t>
  </si>
  <si>
    <t>z2</t>
  </si>
  <si>
    <t>LMT to STFT from D1</t>
  </si>
  <si>
    <t>LMT to STFT from D2</t>
  </si>
  <si>
    <t>LMT to STFT from D3</t>
  </si>
  <si>
    <t>LMT to STFT from D4</t>
  </si>
  <si>
    <t>LMT to STFT from D5</t>
  </si>
  <si>
    <t>LMT to STFT from D6</t>
  </si>
  <si>
    <t>LMT to STFT from D7</t>
  </si>
  <si>
    <t>LMT to STFT from D8</t>
  </si>
  <si>
    <t>LMT to STFT from D9</t>
  </si>
  <si>
    <t>PPF1</t>
  </si>
  <si>
    <r>
      <t xml:space="preserve">z </t>
    </r>
    <r>
      <rPr>
        <b/>
        <sz val="10"/>
        <rFont val="Symbol"/>
        <family val="1"/>
      </rPr>
      <t>´</t>
    </r>
    <r>
      <rPr>
        <b/>
        <sz val="10"/>
        <rFont val="Arial Unicode MS"/>
        <family val="2"/>
      </rPr>
      <t xml:space="preserve"> Mass</t>
    </r>
  </si>
  <si>
    <t>Key parameters:</t>
  </si>
  <si>
    <t>Cylinder z1</t>
  </si>
  <si>
    <t>Cylinder z2</t>
  </si>
  <si>
    <t>Total</t>
  </si>
  <si>
    <t>mass per unit length (g/mm)</t>
  </si>
  <si>
    <t>LMT radial</t>
  </si>
  <si>
    <t>Cylinder R</t>
  </si>
  <si>
    <t>Cryostat R</t>
  </si>
  <si>
    <t>Location of PPF1</t>
  </si>
  <si>
    <t>LMT on Cryostat</t>
  </si>
  <si>
    <t>cf Val's estimate of 26.5</t>
  </si>
  <si>
    <t>Total LMT mass</t>
  </si>
  <si>
    <t>Ground Foil (ignore holes)</t>
  </si>
  <si>
    <t>spread uniformly</t>
  </si>
  <si>
    <t>spread approx uniformaly between D3 and end</t>
  </si>
  <si>
    <t>CoM</t>
  </si>
  <si>
    <t>Area (m2)</t>
  </si>
  <si>
    <t>Cu-Kapton density (kg/m2)</t>
  </si>
  <si>
    <t>Vol (m3)</t>
  </si>
  <si>
    <t xml:space="preserve">Airex density (kg/m3) </t>
  </si>
  <si>
    <t>OTE (Airex + Cu-Kapton)</t>
  </si>
  <si>
    <t>ITE R</t>
  </si>
  <si>
    <t>Interconnects (from Model)</t>
  </si>
  <si>
    <t>includes LMT Cooling; spread from D3</t>
  </si>
  <si>
    <t>LMT Cooling Foils + Clips (from Model)</t>
  </si>
  <si>
    <t>CCT (from Alan)</t>
  </si>
  <si>
    <t>HEX (from Alan)</t>
  </si>
  <si>
    <t>Heaters (from Marco)</t>
  </si>
  <si>
    <t>LMT Monophase Cooling (from Alan)</t>
  </si>
  <si>
    <t>ITE (Airex + Cu-Kapton)</t>
  </si>
  <si>
    <t>Disc Fixations</t>
  </si>
  <si>
    <t>Optofibres</t>
  </si>
  <si>
    <t>OTE Rails (from Martin)</t>
  </si>
  <si>
    <t>assume Short Rails have same mass as Long</t>
  </si>
  <si>
    <t>Optofibres (from Tim &amp; ATL-IS-ES-0098)</t>
  </si>
  <si>
    <t>Optofibres to STFT from D1</t>
  </si>
  <si>
    <t>Optofibres to STFT from D2</t>
  </si>
  <si>
    <t>Optofibres to STFT from D3</t>
  </si>
  <si>
    <t>Optofibres to STFT from D4</t>
  </si>
  <si>
    <t>Optofibres to STFT from D5</t>
  </si>
  <si>
    <t>Optofibres to STFT from D6</t>
  </si>
  <si>
    <t>Optofibres to STFT from D7</t>
  </si>
  <si>
    <t>Optofibres to STFT from D8</t>
  </si>
  <si>
    <t>Optofibres to STFT from D9</t>
  </si>
  <si>
    <t xml:space="preserve"># Data </t>
  </si>
  <si>
    <t xml:space="preserve"># TCC </t>
  </si>
  <si>
    <t xml:space="preserve">Data bits </t>
  </si>
  <si>
    <t>TCC bits</t>
  </si>
  <si>
    <t>Optofibres radial</t>
  </si>
  <si>
    <t>Optofibres on Cryostat</t>
  </si>
  <si>
    <t>Optofibres from D1</t>
  </si>
  <si>
    <t>Optofibres from D2</t>
  </si>
  <si>
    <t>Optofibres from D3</t>
  </si>
  <si>
    <t>Optofibres from D4</t>
  </si>
  <si>
    <t>Optofibres from D5</t>
  </si>
  <si>
    <t>Optofibres from D6</t>
  </si>
  <si>
    <t>Optofibres from D7</t>
  </si>
  <si>
    <t>Optofibres from D8</t>
  </si>
  <si>
    <t>Optofibres from D9</t>
  </si>
  <si>
    <t>1 fibre</t>
  </si>
  <si>
    <t>Data</t>
  </si>
  <si>
    <t>TCC</t>
  </si>
  <si>
    <t>All fibres</t>
  </si>
  <si>
    <t>Total fibre mass</t>
  </si>
  <si>
    <t>RTE Pad (Airex)</t>
  </si>
  <si>
    <t>Total Interc mass</t>
  </si>
  <si>
    <t>ignore Coolant - 0.4 kg on Discs</t>
  </si>
  <si>
    <t>guess, based on old spreadsheet</t>
  </si>
  <si>
    <t>assume fully supported on Cryostat</t>
  </si>
  <si>
    <t xml:space="preserve">Interconnect Disc 1 </t>
  </si>
  <si>
    <t>Interconnect Disc 2</t>
  </si>
  <si>
    <t>Interconnect Disc 3</t>
  </si>
  <si>
    <t>Interconnect Disc 4</t>
  </si>
  <si>
    <t>Interconnect Disc 5</t>
  </si>
  <si>
    <t>Interconnect Disc 6</t>
  </si>
  <si>
    <t>Interconnect Disc 7</t>
  </si>
  <si>
    <t>Interconnect Disc 8</t>
  </si>
  <si>
    <t>Interconnect Disc 9</t>
  </si>
  <si>
    <t>Interconnect x-section (cm2)</t>
  </si>
  <si>
    <t>C3F8 density (g/cm3)</t>
  </si>
  <si>
    <t xml:space="preserve">Vapour fraction </t>
  </si>
  <si>
    <t>mass in 4 Exhausts (g)</t>
  </si>
  <si>
    <t>Coolant (Disc + Cyl)</t>
  </si>
  <si>
    <t>CoM should be closer to D9, but smallish effect</t>
  </si>
  <si>
    <t>Mass on each Front Mechanism</t>
  </si>
  <si>
    <t>assume 8 mm ID</t>
  </si>
  <si>
    <t>Cooling Extensions (temporay) (Jason guess)</t>
  </si>
  <si>
    <t xml:space="preserve">STFT (CF, Foam, fastners) (Jason estimate)+A99  </t>
  </si>
  <si>
    <t>Remove Cooling Extensions</t>
  </si>
  <si>
    <t>PPF1 Housings &amp; Supports</t>
  </si>
  <si>
    <t>From Nikhef</t>
  </si>
  <si>
    <t>Misc (Jason guess)</t>
  </si>
  <si>
    <t>single (g)</t>
  </si>
  <si>
    <t>Outer Thermal Enclosure (connection-end)</t>
  </si>
  <si>
    <t>TD-1012-402
(one physical pad)</t>
  </si>
  <si>
    <t>Outer Thermal Enclosure (away from connections)</t>
  </si>
  <si>
    <t>Front Wing top/bottom</t>
  </si>
  <si>
    <t>C</t>
  </si>
  <si>
    <t>TD-1012-459</t>
  </si>
  <si>
    <t>Front Wing middle</t>
  </si>
  <si>
    <t>B</t>
  </si>
  <si>
    <t>TD-1012-458</t>
  </si>
  <si>
    <t>Front Wing extension</t>
  </si>
  <si>
    <t>D</t>
  </si>
  <si>
    <t>TD-1012-460</t>
  </si>
  <si>
    <t>Rear Wing top/bottom</t>
  </si>
  <si>
    <t>Rear Wing middle</t>
  </si>
  <si>
    <t>Rear Wing extension</t>
  </si>
  <si>
    <t>A</t>
  </si>
  <si>
    <t>TD-1012-457</t>
  </si>
  <si>
    <t>Services feed through (cooling area)</t>
  </si>
  <si>
    <t>I</t>
  </si>
  <si>
    <t>TD-1012-471 &amp; TD-1012-470 &amp; TD-1012-468</t>
  </si>
  <si>
    <t>Services feed through (tape area) - Rear wing</t>
  </si>
  <si>
    <t>G1</t>
  </si>
  <si>
    <t>TD-1012-467</t>
  </si>
  <si>
    <t>Services feed through (tape area) - Front wing</t>
  </si>
  <si>
    <t>G2</t>
  </si>
  <si>
    <t>TD-1012-536</t>
  </si>
  <si>
    <t>Services feed through (tape area)</t>
  </si>
  <si>
    <t>H</t>
  </si>
  <si>
    <t>TD-1012-469</t>
  </si>
  <si>
    <t>K</t>
  </si>
  <si>
    <t>TD-1012-471</t>
  </si>
  <si>
    <t>J</t>
  </si>
  <si>
    <t>TD-1012-470</t>
  </si>
  <si>
    <t>TOTAL EC SCT</t>
  </si>
  <si>
    <t>Area</t>
  </si>
  <si>
    <t xml:space="preserve">Tot Area </t>
  </si>
  <si>
    <t xml:space="preserve">Num (1 EC) </t>
  </si>
  <si>
    <t>OTE Total Area (1 EC)</t>
  </si>
  <si>
    <t>Front Total Area (1 EC)</t>
  </si>
  <si>
    <t>Rear Total Area (1 EC)</t>
  </si>
  <si>
    <t>fract</t>
  </si>
  <si>
    <t>OTE Heater Pads (from Steve M)</t>
  </si>
  <si>
    <t>Front Heater Pads (from worksheet)</t>
  </si>
  <si>
    <t>Rear Heater Pads (from worksheet)</t>
  </si>
  <si>
    <t>Inevitably, some things are ignored, eg glue layers.</t>
  </si>
  <si>
    <t>Could add 10 kg to account for all missed items.</t>
  </si>
  <si>
    <t>We have tried to include everything - see Jason's guess of Misc items (compiled from summing estimates for 30 sets of items)</t>
  </si>
  <si>
    <t>Capillaries (Jason estimate)</t>
  </si>
  <si>
    <t>Total Support</t>
  </si>
  <si>
    <t>Tests:</t>
  </si>
  <si>
    <r>
      <t xml:space="preserve">The load tested by Brian Smith was </t>
    </r>
    <r>
      <rPr>
        <b/>
        <sz val="10"/>
        <rFont val="Arial"/>
        <family val="2"/>
      </rPr>
      <t>233 kg</t>
    </r>
    <r>
      <rPr>
        <sz val="10"/>
        <rFont val="Arial"/>
        <family val="2"/>
      </rPr>
      <t>.</t>
    </r>
  </si>
  <si>
    <r>
      <t xml:space="preserve">The load tested at PCI was 277 kg - this exclude mass of Support Structure, so corresponds to a total EC mass of </t>
    </r>
    <r>
      <rPr>
        <b/>
        <sz val="10"/>
        <rFont val="Arial"/>
        <family val="2"/>
      </rPr>
      <t>300 kg</t>
    </r>
    <r>
      <rPr>
        <sz val="10"/>
        <rFont val="Arial"/>
        <family val="0"/>
      </rPr>
      <t>.</t>
    </r>
  </si>
  <si>
    <t>Discs + Services</t>
  </si>
  <si>
    <t>Modules</t>
  </si>
  <si>
    <t>Fixations</t>
  </si>
  <si>
    <t>Sub-tot</t>
  </si>
  <si>
    <t>Discs</t>
  </si>
  <si>
    <t>CF Structures</t>
  </si>
  <si>
    <t>On-Cylinder Services</t>
  </si>
  <si>
    <t>Cooling</t>
  </si>
  <si>
    <t>LMTs</t>
  </si>
  <si>
    <t>Fibres</t>
  </si>
  <si>
    <t>TE</t>
  </si>
  <si>
    <t>Cable Trays</t>
  </si>
  <si>
    <t>Misc</t>
  </si>
  <si>
    <t>Before Pit Installation</t>
  </si>
  <si>
    <t>After Pit Installation</t>
  </si>
  <si>
    <t>Cylinder</t>
  </si>
  <si>
    <t>Structure</t>
  </si>
  <si>
    <t>Includes RCT</t>
  </si>
  <si>
    <t>Cryostat Services</t>
  </si>
  <si>
    <t>Radial Services</t>
  </si>
  <si>
    <t>Not in weighed estimate</t>
  </si>
  <si>
    <t>Subtotal</t>
  </si>
  <si>
    <t>RCT Rear Plate</t>
  </si>
  <si>
    <t>partially supoported at PPF1</t>
  </si>
  <si>
    <t>Total Supported (after Pit Installation)</t>
  </si>
  <si>
    <t>PPF1 (PCBs)</t>
  </si>
  <si>
    <t>Remove PPF1</t>
  </si>
  <si>
    <t>but add PCBs</t>
  </si>
  <si>
    <t>RCT (Front plate and Guides) (from Alan)</t>
  </si>
  <si>
    <t>Remove half (supported) CCT</t>
  </si>
  <si>
    <t>cf from Estimate</t>
  </si>
  <si>
    <r>
      <t xml:space="preserve">Corresponding </t>
    </r>
    <r>
      <rPr>
        <b/>
        <sz val="10"/>
        <rFont val="Arial"/>
        <family val="2"/>
      </rPr>
      <t>Model</t>
    </r>
    <r>
      <rPr>
        <sz val="10"/>
        <rFont val="Arial"/>
        <family val="0"/>
      </rPr>
      <t xml:space="preserve"> Estimate</t>
    </r>
  </si>
  <si>
    <r>
      <t xml:space="preserve">Summary derived from </t>
    </r>
    <r>
      <rPr>
        <b/>
        <sz val="10"/>
        <rFont val="Arial"/>
        <family val="2"/>
      </rPr>
      <t>Models</t>
    </r>
  </si>
  <si>
    <t>[2]</t>
  </si>
  <si>
    <t>[1]</t>
  </si>
  <si>
    <t>[1] Underestimated Fixings (1kg), Coolant (1kg), N2 pipes (1kg), OTE (6kg)</t>
  </si>
  <si>
    <t>[2] Forgot Mechanisms and Shunt Shields (1.6kg). Also Rear Pad increased, additional Flanges from ITE/OTE, and ITE foam/glue heavier</t>
  </si>
  <si>
    <t>[3]</t>
  </si>
  <si>
    <t>[3] Estimate did not include Support Pads and HEX Boxes.</t>
  </si>
  <si>
    <t>Includes all CCT; Estimate only used half</t>
  </si>
  <si>
    <t>New Estimate of Measured (Feb 07) Mass</t>
  </si>
  <si>
    <t>Cooling Extensions ??</t>
  </si>
  <si>
    <t>probably not on ??</t>
  </si>
  <si>
    <t>PCBs only</t>
  </si>
  <si>
    <t>Remove Disc Coolant</t>
  </si>
  <si>
    <r>
      <t xml:space="preserve">see </t>
    </r>
    <r>
      <rPr>
        <b/>
        <sz val="10"/>
        <rFont val="Arial"/>
        <family val="2"/>
      </rPr>
      <t>Coolant</t>
    </r>
  </si>
  <si>
    <t>Some of the above was included in the original Estimate as "Misc"</t>
  </si>
  <si>
    <t>Most of additional mass due to real mass of glue etc, esp for OTE.</t>
  </si>
  <si>
    <r>
      <t xml:space="preserve">Summary of </t>
    </r>
    <r>
      <rPr>
        <b/>
        <sz val="10"/>
        <rFont val="Arial"/>
        <family val="2"/>
      </rPr>
      <t>Estimate</t>
    </r>
    <r>
      <rPr>
        <sz val="10"/>
        <rFont val="Arial"/>
        <family val="0"/>
      </rPr>
      <t xml:space="preserve"> page</t>
    </r>
  </si>
  <si>
    <r>
      <t xml:space="preserve">See </t>
    </r>
    <r>
      <rPr>
        <b/>
        <sz val="10"/>
        <rFont val="Arial"/>
        <family val="2"/>
      </rPr>
      <t>Models</t>
    </r>
    <r>
      <rPr>
        <sz val="10"/>
        <rFont val="Arial"/>
        <family val="0"/>
      </rPr>
      <t xml:space="preserve"> page for more up-to-date (23 May 07) estimate</t>
    </r>
  </si>
  <si>
    <t>Comparison of Crude Estimate and Refined Model</t>
  </si>
  <si>
    <t>Estimate included most of EC, except part of PPF1</t>
  </si>
  <si>
    <t>[4]</t>
  </si>
  <si>
    <t>[4] Large increase in replacement to Heaters (+12.0kg). Forgot Coolant and didn't consider Insulation (4.9kg).</t>
  </si>
  <si>
    <t>Remove Cylinder Cooling</t>
  </si>
  <si>
    <t>The SCT EC Mass !</t>
  </si>
  <si>
    <t>exclude: HEX Box, HEX, Rear RCT, Coolant</t>
  </si>
  <si>
    <t>Services only; no Cooling</t>
  </si>
  <si>
    <t>If Cryo Services supported</t>
  </si>
  <si>
    <t>To compare with weight</t>
  </si>
  <si>
    <t>Measured mass (EC-A)</t>
  </si>
  <si>
    <t xml:space="preserve">Measured </t>
  </si>
  <si>
    <t>Pernegger (16/5/07)</t>
  </si>
  <si>
    <t>Weneke (5/9/07)</t>
  </si>
  <si>
    <t>Additions (mainly frame)</t>
  </si>
  <si>
    <t>TRT CCT extensions</t>
  </si>
  <si>
    <t>Guess errors/uncertainties O(5-10)kg</t>
  </si>
  <si>
    <t>Errors ?</t>
  </si>
  <si>
    <t>Model</t>
  </si>
  <si>
    <r>
      <t xml:space="preserve">To compare with </t>
    </r>
    <r>
      <rPr>
        <b/>
        <sz val="10"/>
        <rFont val="Arial"/>
        <family val="2"/>
      </rPr>
      <t>Crude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Estimate:</t>
    </r>
  </si>
  <si>
    <r>
      <t xml:space="preserve">cf from </t>
    </r>
    <r>
      <rPr>
        <b/>
        <sz val="10"/>
        <rFont val="Arial"/>
        <family val="2"/>
      </rPr>
      <t>Crude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Estimate</t>
    </r>
  </si>
  <si>
    <t xml:space="preserve">Supported by Wings: </t>
  </si>
  <si>
    <t>Cumulative</t>
  </si>
  <si>
    <t>Updated 27 Sep 07</t>
  </si>
  <si>
    <t>Updated 17 Mar 08</t>
  </si>
  <si>
    <t>See Cylinder Sheet</t>
  </si>
  <si>
    <t>Also need LMT</t>
  </si>
  <si>
    <t>Change Coolant mass (I suspect I had increased Disc masses to also include Coolant, but what I subtracted was for Cylinder, not Disc and Cyl was for one quad and missed LMT Cooling)</t>
  </si>
  <si>
    <t>Updated 11 May 09</t>
  </si>
  <si>
    <t>Reduce mass of TE Heater Pad Wire PPF1.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</si>
</sst>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Symbol"/>
      <family val="1"/>
    </font>
    <font>
      <b/>
      <sz val="10"/>
      <name val="Arial Unicode MS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 horizontal="right"/>
    </xf>
    <xf numFmtId="175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1" fillId="35" borderId="0" xfId="0" applyFont="1" applyFill="1" applyAlignment="1">
      <alignment/>
    </xf>
    <xf numFmtId="1" fontId="0" fillId="35" borderId="0" xfId="0" applyNumberForma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6" borderId="0" xfId="0" applyFill="1" applyAlignment="1">
      <alignment/>
    </xf>
    <xf numFmtId="175" fontId="0" fillId="36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6.421875" style="0" customWidth="1"/>
  </cols>
  <sheetData>
    <row r="1" ht="12.75">
      <c r="A1" t="s">
        <v>261</v>
      </c>
    </row>
    <row r="3" spans="1:6" s="6" customFormat="1" ht="12.75">
      <c r="A3" s="6" t="s">
        <v>0</v>
      </c>
      <c r="B3" s="25" t="s">
        <v>27</v>
      </c>
      <c r="C3" s="25" t="s">
        <v>216</v>
      </c>
      <c r="D3" s="25" t="s">
        <v>71</v>
      </c>
      <c r="E3" s="25"/>
      <c r="F3" s="25"/>
    </row>
    <row r="4" s="1" customFormat="1" ht="12.75"/>
    <row r="5" spans="1:4" ht="12.75">
      <c r="A5" s="1" t="s">
        <v>217</v>
      </c>
      <c r="C5" s="2">
        <f>SUM(B6:B8)</f>
        <v>54.62307568866912</v>
      </c>
      <c r="D5" s="2"/>
    </row>
    <row r="6" spans="1:4" ht="12.75">
      <c r="A6" s="24" t="s">
        <v>213</v>
      </c>
      <c r="B6" s="2">
        <f>SUM(Estimate!B17:B25)</f>
        <v>30.27087568866912</v>
      </c>
      <c r="C6" s="2"/>
      <c r="D6" s="2"/>
    </row>
    <row r="7" spans="1:4" ht="12.75">
      <c r="A7" s="24" t="s">
        <v>214</v>
      </c>
      <c r="B7" s="2">
        <f>SUM(Estimate!B28:B36)</f>
        <v>23.6732</v>
      </c>
      <c r="C7" s="2"/>
      <c r="D7" s="2"/>
    </row>
    <row r="8" spans="1:4" ht="12.75">
      <c r="A8" s="24" t="s">
        <v>215</v>
      </c>
      <c r="B8" s="2">
        <f>Estimate!B39</f>
        <v>0.679</v>
      </c>
      <c r="C8" s="2"/>
      <c r="D8" s="2"/>
    </row>
    <row r="9" spans="2:4" ht="12.75">
      <c r="B9" s="2"/>
      <c r="C9" s="2"/>
      <c r="D9" s="2"/>
    </row>
    <row r="10" spans="2:4" ht="12.75">
      <c r="B10" s="2"/>
      <c r="C10" s="2"/>
      <c r="D10" s="2"/>
    </row>
    <row r="11" spans="1:4" ht="12.75">
      <c r="A11" s="26" t="s">
        <v>218</v>
      </c>
      <c r="B11" s="2">
        <f>SUM(Estimate!B42:B47)</f>
        <v>24.7705</v>
      </c>
      <c r="C11" s="2">
        <f>SUM(B11)</f>
        <v>24.7705</v>
      </c>
      <c r="D11" s="2"/>
    </row>
    <row r="12" spans="2:4" ht="12.75">
      <c r="B12" s="2"/>
      <c r="C12" s="2"/>
      <c r="D12" s="2"/>
    </row>
    <row r="13" spans="1:4" ht="12.75">
      <c r="A13" s="1" t="s">
        <v>219</v>
      </c>
      <c r="B13" s="2"/>
      <c r="C13" s="2">
        <f>SUM(B14:B17)</f>
        <v>50.53964238028021</v>
      </c>
      <c r="D13" s="2"/>
    </row>
    <row r="14" spans="1:4" ht="12.75">
      <c r="A14" s="24" t="s">
        <v>220</v>
      </c>
      <c r="B14" s="2">
        <f>SUM(Estimate!B54:B65,Estimate!B83)</f>
        <v>9.314483333333333</v>
      </c>
      <c r="C14" s="2"/>
      <c r="D14" s="2"/>
    </row>
    <row r="15" spans="1:4" ht="12.75">
      <c r="A15" s="24" t="s">
        <v>221</v>
      </c>
      <c r="B15" s="2">
        <f>SUM(Estimate!B69:B81)</f>
        <v>37.90810079999999</v>
      </c>
      <c r="C15" s="2"/>
      <c r="D15" s="2"/>
    </row>
    <row r="16" spans="1:4" ht="12.75">
      <c r="A16" s="24" t="s">
        <v>222</v>
      </c>
      <c r="B16" s="2">
        <f>SUM(Estimate!B87:B97)</f>
        <v>1.8626919199999998</v>
      </c>
      <c r="C16" s="2"/>
      <c r="D16" s="2"/>
    </row>
    <row r="17" spans="1:4" ht="12.75">
      <c r="A17" s="24" t="s">
        <v>225</v>
      </c>
      <c r="B17" s="2">
        <f>SUM(Estimate!B49)</f>
        <v>1.454366326946883</v>
      </c>
      <c r="C17" s="2"/>
      <c r="D17" s="2"/>
    </row>
    <row r="18" spans="2:4" ht="12.75">
      <c r="B18" s="2"/>
      <c r="C18" s="2"/>
      <c r="D18" s="2"/>
    </row>
    <row r="19" spans="1:4" ht="12.75">
      <c r="A19" s="1" t="s">
        <v>223</v>
      </c>
      <c r="B19" s="2">
        <f>SUM(Estimate!B51,Estimate!B99:B105)</f>
        <v>14.772879599241222</v>
      </c>
      <c r="C19" s="2">
        <f>B19</f>
        <v>14.772879599241222</v>
      </c>
      <c r="D19" s="2"/>
    </row>
    <row r="20" spans="2:4" ht="12.75">
      <c r="B20" s="2"/>
      <c r="C20" s="2"/>
      <c r="D20" s="2"/>
    </row>
    <row r="21" spans="1:4" ht="12.75">
      <c r="A21" s="1" t="s">
        <v>224</v>
      </c>
      <c r="B21" s="2">
        <f>SUM(Estimate!B107:B123)</f>
        <v>217.79276433485722</v>
      </c>
      <c r="C21" s="2">
        <f>B21</f>
        <v>217.79276433485722</v>
      </c>
      <c r="D21" s="2"/>
    </row>
    <row r="22" spans="2:4" ht="12.75">
      <c r="B22" s="2"/>
      <c r="C22" s="2"/>
      <c r="D22" s="2"/>
    </row>
    <row r="23" spans="1:4" ht="12.75">
      <c r="A23" s="1" t="s">
        <v>225</v>
      </c>
      <c r="B23" s="2">
        <f>SUM(Estimate!B109:B113)</f>
        <v>17.5</v>
      </c>
      <c r="C23" s="2">
        <f>B23</f>
        <v>17.5</v>
      </c>
      <c r="D23" s="2"/>
    </row>
    <row r="24" spans="2:4" ht="12.75">
      <c r="B24" s="2"/>
      <c r="C24" s="2"/>
      <c r="D24" s="2"/>
    </row>
    <row r="25" spans="1:4" ht="12.75">
      <c r="A25" s="6" t="s">
        <v>226</v>
      </c>
      <c r="B25" s="2"/>
      <c r="C25" s="2"/>
      <c r="D25" s="2">
        <f>SUM(C5:C24)</f>
        <v>379.99886200304775</v>
      </c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1:4" ht="12.75">
      <c r="A28" s="1" t="s">
        <v>220</v>
      </c>
      <c r="B28" s="2">
        <f>SUM(Estimate!B119:B123)</f>
        <v>15.953333333333333</v>
      </c>
      <c r="C28" s="2">
        <f>B28</f>
        <v>15.953333333333333</v>
      </c>
      <c r="D28" s="2"/>
    </row>
    <row r="29" spans="2:4" ht="12.75">
      <c r="B29" s="2"/>
      <c r="C29" s="2"/>
      <c r="D29" s="2"/>
    </row>
    <row r="30" spans="1:4" ht="12.75">
      <c r="A30" s="1" t="s">
        <v>225</v>
      </c>
      <c r="B30" s="2">
        <f>SUM(Estimate!B130)</f>
        <v>3.5</v>
      </c>
      <c r="C30" s="2">
        <f>B30</f>
        <v>3.5</v>
      </c>
      <c r="D30" s="2"/>
    </row>
    <row r="31" spans="3:4" ht="12.75">
      <c r="C31" s="2"/>
      <c r="D31" s="2"/>
    </row>
    <row r="32" spans="1:4" ht="12.75">
      <c r="A32" s="6" t="s">
        <v>227</v>
      </c>
      <c r="C32" s="2"/>
      <c r="D32" s="2">
        <f>SUM(D25,C28:C31)</f>
        <v>399.45219533638107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7.421875" style="0" customWidth="1"/>
    <col min="2" max="2" width="11.57421875" style="0" customWidth="1"/>
    <col min="3" max="3" width="11.421875" style="0" customWidth="1"/>
    <col min="4" max="4" width="11.57421875" style="0" customWidth="1"/>
  </cols>
  <sheetData>
    <row r="1" spans="1:2" ht="12.75">
      <c r="A1" s="34" t="s">
        <v>262</v>
      </c>
      <c r="B1" s="34"/>
    </row>
    <row r="4" ht="12.75">
      <c r="A4" s="6" t="s">
        <v>52</v>
      </c>
    </row>
    <row r="5" ht="12.75">
      <c r="A5" s="6"/>
    </row>
    <row r="6" ht="12.75">
      <c r="A6" s="5" t="s">
        <v>68</v>
      </c>
    </row>
    <row r="7" spans="1:2" ht="12.75">
      <c r="A7" s="7" t="s">
        <v>69</v>
      </c>
      <c r="B7">
        <v>824</v>
      </c>
    </row>
    <row r="8" spans="1:2" ht="12.75">
      <c r="A8" s="7" t="s">
        <v>70</v>
      </c>
      <c r="B8">
        <v>2767</v>
      </c>
    </row>
    <row r="9" spans="1:2" ht="12.75">
      <c r="A9" s="7" t="s">
        <v>89</v>
      </c>
      <c r="B9">
        <v>260</v>
      </c>
    </row>
    <row r="10" spans="1:2" ht="12.75">
      <c r="A10" s="7" t="s">
        <v>74</v>
      </c>
      <c r="B10">
        <v>570</v>
      </c>
    </row>
    <row r="11" spans="1:2" ht="12.75">
      <c r="A11" s="7" t="s">
        <v>75</v>
      </c>
      <c r="B11">
        <v>1100</v>
      </c>
    </row>
    <row r="12" spans="1:2" ht="12.75">
      <c r="A12" s="7" t="s">
        <v>76</v>
      </c>
      <c r="B12">
        <v>3330</v>
      </c>
    </row>
    <row r="13" ht="12.75">
      <c r="A13" s="7"/>
    </row>
    <row r="14" spans="1:6" ht="15">
      <c r="A14" s="1" t="s">
        <v>0</v>
      </c>
      <c r="B14" s="1" t="s">
        <v>27</v>
      </c>
      <c r="C14" s="1" t="s">
        <v>28</v>
      </c>
      <c r="D14" s="1" t="s">
        <v>67</v>
      </c>
      <c r="F14" s="1" t="s">
        <v>36</v>
      </c>
    </row>
    <row r="15" spans="1:6" ht="12.75">
      <c r="A15" s="1"/>
      <c r="B15" s="1"/>
      <c r="C15" s="1"/>
      <c r="D15" s="1"/>
      <c r="F15" s="1"/>
    </row>
    <row r="16" spans="1:8" ht="12.75">
      <c r="A16" s="5" t="s">
        <v>49</v>
      </c>
      <c r="F16" t="s">
        <v>10</v>
      </c>
      <c r="H16" t="s">
        <v>134</v>
      </c>
    </row>
    <row r="17" spans="1:6" ht="12.75">
      <c r="A17" t="s">
        <v>1</v>
      </c>
      <c r="B17" s="3">
        <f>F17/1000</f>
        <v>2.484107688669116</v>
      </c>
      <c r="C17">
        <v>2720</v>
      </c>
      <c r="D17" s="2">
        <f>B17*C17</f>
        <v>6756.772913179995</v>
      </c>
      <c r="F17">
        <v>2484.1076886691158</v>
      </c>
    </row>
    <row r="18" spans="1:6" ht="12.75">
      <c r="A18" t="s">
        <v>2</v>
      </c>
      <c r="B18" s="3">
        <f aca="true" t="shared" si="0" ref="B18:B25">F18/1000</f>
        <v>3.1175160000000006</v>
      </c>
      <c r="C18">
        <v>2505</v>
      </c>
      <c r="D18" s="2">
        <f aca="true" t="shared" si="1" ref="D18:D107">B18*C18</f>
        <v>7809.377580000001</v>
      </c>
      <c r="F18">
        <v>3117.5160000000005</v>
      </c>
    </row>
    <row r="19" spans="1:6" ht="12.75">
      <c r="A19" t="s">
        <v>3</v>
      </c>
      <c r="B19" s="3">
        <f t="shared" si="0"/>
        <v>3.1655160000000007</v>
      </c>
      <c r="C19">
        <v>2115</v>
      </c>
      <c r="D19" s="2">
        <f t="shared" si="1"/>
        <v>6695.066340000001</v>
      </c>
      <c r="F19">
        <v>3165.5160000000005</v>
      </c>
    </row>
    <row r="20" spans="1:6" ht="12.75">
      <c r="A20" t="s">
        <v>4</v>
      </c>
      <c r="B20" s="3">
        <f t="shared" si="0"/>
        <v>3.692286</v>
      </c>
      <c r="C20">
        <v>1771</v>
      </c>
      <c r="D20" s="2">
        <f t="shared" si="1"/>
        <v>6539.038506</v>
      </c>
      <c r="F20">
        <v>3692.286</v>
      </c>
    </row>
    <row r="21" spans="1:6" ht="12.75">
      <c r="A21" t="s">
        <v>5</v>
      </c>
      <c r="B21" s="3">
        <f t="shared" si="0"/>
        <v>3.732556</v>
      </c>
      <c r="C21">
        <v>1400</v>
      </c>
      <c r="D21" s="2">
        <f t="shared" si="1"/>
        <v>5225.5784</v>
      </c>
      <c r="F21">
        <v>3732.556</v>
      </c>
    </row>
    <row r="22" spans="1:6" ht="12.75">
      <c r="A22" t="s">
        <v>6</v>
      </c>
      <c r="B22" s="3">
        <f t="shared" si="0"/>
        <v>3.416156</v>
      </c>
      <c r="C22">
        <v>1300</v>
      </c>
      <c r="D22" s="2">
        <f t="shared" si="1"/>
        <v>4441.0028</v>
      </c>
      <c r="F22">
        <v>3416.156</v>
      </c>
    </row>
    <row r="23" spans="1:6" ht="12.75">
      <c r="A23" t="s">
        <v>7</v>
      </c>
      <c r="B23" s="3">
        <f t="shared" si="0"/>
        <v>3.8342560000000003</v>
      </c>
      <c r="C23">
        <v>1092</v>
      </c>
      <c r="D23" s="2">
        <f t="shared" si="1"/>
        <v>4187.007552</v>
      </c>
      <c r="F23">
        <v>3834.2560000000003</v>
      </c>
    </row>
    <row r="24" spans="1:6" ht="12.75">
      <c r="A24" t="s">
        <v>8</v>
      </c>
      <c r="B24" s="3">
        <f t="shared" si="0"/>
        <v>3.7410360000000003</v>
      </c>
      <c r="C24">
        <v>934</v>
      </c>
      <c r="D24" s="2">
        <f t="shared" si="1"/>
        <v>3494.127624</v>
      </c>
      <c r="F24">
        <v>3741.036</v>
      </c>
    </row>
    <row r="25" spans="1:6" ht="12.75">
      <c r="A25" t="s">
        <v>9</v>
      </c>
      <c r="B25" s="3">
        <f t="shared" si="0"/>
        <v>3.087446</v>
      </c>
      <c r="C25">
        <v>853</v>
      </c>
      <c r="D25" s="2">
        <f t="shared" si="1"/>
        <v>2633.591438</v>
      </c>
      <c r="F25">
        <v>3087.446</v>
      </c>
    </row>
    <row r="26" spans="2:4" ht="12.75">
      <c r="B26" s="3"/>
      <c r="D26" s="2"/>
    </row>
    <row r="27" spans="1:14" ht="12.75">
      <c r="A27" s="5" t="s">
        <v>48</v>
      </c>
      <c r="B27" s="3"/>
      <c r="D27" s="2"/>
      <c r="F27" t="s">
        <v>20</v>
      </c>
      <c r="G27" t="s">
        <v>21</v>
      </c>
      <c r="H27" t="s">
        <v>22</v>
      </c>
      <c r="I27" t="s">
        <v>71</v>
      </c>
      <c r="J27" t="s">
        <v>23</v>
      </c>
      <c r="K27" t="s">
        <v>24</v>
      </c>
      <c r="L27" t="s">
        <v>25</v>
      </c>
      <c r="N27" t="s">
        <v>29</v>
      </c>
    </row>
    <row r="28" spans="1:14" ht="12.75">
      <c r="A28" t="s">
        <v>19</v>
      </c>
      <c r="B28" s="3">
        <f>(F28*$J$28+G28*$K$28+H28*$L$28)/1000</f>
        <v>2.3708</v>
      </c>
      <c r="C28">
        <f>C25</f>
        <v>853</v>
      </c>
      <c r="D28" s="2">
        <f aca="true" t="shared" si="2" ref="D28:D39">B28*C28</f>
        <v>2022.2924</v>
      </c>
      <c r="F28">
        <v>52</v>
      </c>
      <c r="G28">
        <v>40</v>
      </c>
      <c r="H28">
        <v>0</v>
      </c>
      <c r="I28">
        <f>SUM(F28:H28)</f>
        <v>92</v>
      </c>
      <c r="J28">
        <v>25.9</v>
      </c>
      <c r="K28">
        <v>25.6</v>
      </c>
      <c r="L28">
        <v>16.8</v>
      </c>
      <c r="N28" t="s">
        <v>26</v>
      </c>
    </row>
    <row r="29" spans="1:9" ht="12.75">
      <c r="A29" t="s">
        <v>18</v>
      </c>
      <c r="B29" s="3">
        <f aca="true" t="shared" si="3" ref="B29:B36">(F29*$J$28+G29*$K$28+H29*$L$28)/1000</f>
        <v>3.0428</v>
      </c>
      <c r="C29">
        <f>C24</f>
        <v>934</v>
      </c>
      <c r="D29" s="2">
        <f t="shared" si="2"/>
        <v>2841.9752000000003</v>
      </c>
      <c r="F29">
        <v>52</v>
      </c>
      <c r="G29">
        <v>40</v>
      </c>
      <c r="H29">
        <v>40</v>
      </c>
      <c r="I29">
        <f aca="true" t="shared" si="4" ref="I29:I36">SUM(F29:H29)</f>
        <v>132</v>
      </c>
    </row>
    <row r="30" spans="1:9" ht="12.75">
      <c r="A30" t="s">
        <v>17</v>
      </c>
      <c r="B30" s="3">
        <f t="shared" si="3"/>
        <v>3.0428</v>
      </c>
      <c r="C30">
        <f>C23</f>
        <v>1092</v>
      </c>
      <c r="D30" s="2">
        <f t="shared" si="2"/>
        <v>3322.7376000000004</v>
      </c>
      <c r="F30">
        <v>52</v>
      </c>
      <c r="G30">
        <v>40</v>
      </c>
      <c r="H30">
        <v>40</v>
      </c>
      <c r="I30">
        <f t="shared" si="4"/>
        <v>132</v>
      </c>
    </row>
    <row r="31" spans="1:9" ht="12.75">
      <c r="A31" t="s">
        <v>16</v>
      </c>
      <c r="B31" s="3">
        <f t="shared" si="3"/>
        <v>3.0428</v>
      </c>
      <c r="C31">
        <f>C22</f>
        <v>1300</v>
      </c>
      <c r="D31" s="2">
        <f t="shared" si="2"/>
        <v>3955.6400000000003</v>
      </c>
      <c r="F31">
        <v>52</v>
      </c>
      <c r="G31">
        <v>40</v>
      </c>
      <c r="H31">
        <v>40</v>
      </c>
      <c r="I31">
        <f t="shared" si="4"/>
        <v>132</v>
      </c>
    </row>
    <row r="32" spans="1:9" ht="12.75">
      <c r="A32" t="s">
        <v>15</v>
      </c>
      <c r="B32" s="3">
        <f t="shared" si="3"/>
        <v>3.0428</v>
      </c>
      <c r="C32">
        <f>C21</f>
        <v>1400</v>
      </c>
      <c r="D32" s="2">
        <f t="shared" si="2"/>
        <v>4259.92</v>
      </c>
      <c r="F32">
        <v>52</v>
      </c>
      <c r="G32">
        <v>40</v>
      </c>
      <c r="H32">
        <v>40</v>
      </c>
      <c r="I32">
        <f t="shared" si="4"/>
        <v>132</v>
      </c>
    </row>
    <row r="33" spans="1:9" ht="12.75">
      <c r="A33" t="s">
        <v>14</v>
      </c>
      <c r="B33" s="3">
        <f t="shared" si="3"/>
        <v>3.0428</v>
      </c>
      <c r="C33">
        <f>C20</f>
        <v>1771</v>
      </c>
      <c r="D33" s="2">
        <f t="shared" si="2"/>
        <v>5388.7988000000005</v>
      </c>
      <c r="F33">
        <v>52</v>
      </c>
      <c r="G33">
        <v>40</v>
      </c>
      <c r="H33">
        <v>40</v>
      </c>
      <c r="I33">
        <f t="shared" si="4"/>
        <v>132</v>
      </c>
    </row>
    <row r="34" spans="1:9" ht="12.75">
      <c r="A34" t="s">
        <v>13</v>
      </c>
      <c r="B34" s="3">
        <f t="shared" si="3"/>
        <v>2.3708</v>
      </c>
      <c r="C34">
        <f>C19</f>
        <v>2115</v>
      </c>
      <c r="D34" s="2">
        <f t="shared" si="2"/>
        <v>5014.242</v>
      </c>
      <c r="F34">
        <v>52</v>
      </c>
      <c r="G34">
        <v>40</v>
      </c>
      <c r="H34">
        <v>0</v>
      </c>
      <c r="I34">
        <f t="shared" si="4"/>
        <v>92</v>
      </c>
    </row>
    <row r="35" spans="1:9" ht="12.75">
      <c r="A35" t="s">
        <v>12</v>
      </c>
      <c r="B35" s="3">
        <f t="shared" si="3"/>
        <v>2.3708</v>
      </c>
      <c r="C35">
        <f>C18</f>
        <v>2505</v>
      </c>
      <c r="D35" s="2">
        <f t="shared" si="2"/>
        <v>5938.854</v>
      </c>
      <c r="F35">
        <v>52</v>
      </c>
      <c r="G35">
        <v>40</v>
      </c>
      <c r="H35">
        <v>0</v>
      </c>
      <c r="I35">
        <f t="shared" si="4"/>
        <v>92</v>
      </c>
    </row>
    <row r="36" spans="1:9" ht="12.75">
      <c r="A36" t="s">
        <v>11</v>
      </c>
      <c r="B36" s="3">
        <f t="shared" si="3"/>
        <v>1.3468</v>
      </c>
      <c r="C36">
        <f>C17</f>
        <v>2720</v>
      </c>
      <c r="D36" s="2">
        <f t="shared" si="2"/>
        <v>3663.296</v>
      </c>
      <c r="F36">
        <v>52</v>
      </c>
      <c r="G36">
        <v>0</v>
      </c>
      <c r="H36">
        <v>0</v>
      </c>
      <c r="I36">
        <f t="shared" si="4"/>
        <v>52</v>
      </c>
    </row>
    <row r="37" spans="2:14" ht="12.75">
      <c r="B37" s="3"/>
      <c r="D37" s="2"/>
      <c r="F37">
        <f>SUM(F28:F36)</f>
        <v>468</v>
      </c>
      <c r="G37">
        <f>SUM(G28:G36)</f>
        <v>320</v>
      </c>
      <c r="H37">
        <f>SUM(H28:H36)</f>
        <v>200</v>
      </c>
      <c r="I37">
        <f>SUM(F37:H37)</f>
        <v>988</v>
      </c>
      <c r="K37" t="s">
        <v>51</v>
      </c>
      <c r="N37" s="3">
        <f>SUM(B17:B25,B28:B36)</f>
        <v>53.94407568866912</v>
      </c>
    </row>
    <row r="38" spans="2:4" ht="12.75">
      <c r="B38" s="3"/>
      <c r="D38" s="2"/>
    </row>
    <row r="39" spans="1:4" ht="12.75">
      <c r="A39" t="s">
        <v>98</v>
      </c>
      <c r="B39" s="9">
        <v>0.679</v>
      </c>
      <c r="C39">
        <f>C42</f>
        <v>1795.5</v>
      </c>
      <c r="D39" s="2">
        <f t="shared" si="2"/>
        <v>1219.1445</v>
      </c>
    </row>
    <row r="40" ht="12.75">
      <c r="D40" s="2"/>
    </row>
    <row r="41" spans="1:4" ht="12.75">
      <c r="A41" s="5" t="s">
        <v>50</v>
      </c>
      <c r="D41" s="2"/>
    </row>
    <row r="42" spans="1:4" ht="12.75">
      <c r="A42" t="s">
        <v>30</v>
      </c>
      <c r="B42" s="3">
        <v>10.678</v>
      </c>
      <c r="C42">
        <f>(B7+B8)/2</f>
        <v>1795.5</v>
      </c>
      <c r="D42" s="2">
        <f t="shared" si="1"/>
        <v>19172.349000000002</v>
      </c>
    </row>
    <row r="43" spans="1:4" ht="12.75">
      <c r="A43" t="s">
        <v>31</v>
      </c>
      <c r="B43" s="3">
        <v>6.875</v>
      </c>
      <c r="C43">
        <f>B8</f>
        <v>2767</v>
      </c>
      <c r="D43" s="2">
        <f t="shared" si="1"/>
        <v>19023.125</v>
      </c>
    </row>
    <row r="44" spans="1:4" ht="12.75">
      <c r="A44" t="s">
        <v>32</v>
      </c>
      <c r="B44" s="3">
        <v>2.6165000000000003</v>
      </c>
      <c r="C44">
        <f>B7</f>
        <v>824</v>
      </c>
      <c r="D44" s="2">
        <f t="shared" si="1"/>
        <v>2155.996</v>
      </c>
    </row>
    <row r="45" spans="1:4" ht="12.75">
      <c r="A45" t="s">
        <v>33</v>
      </c>
      <c r="B45" s="3">
        <v>1.16</v>
      </c>
      <c r="C45">
        <f>C44</f>
        <v>824</v>
      </c>
      <c r="D45" s="2">
        <f t="shared" si="1"/>
        <v>955.8399999999999</v>
      </c>
    </row>
    <row r="46" spans="1:4" ht="12.75">
      <c r="A46" t="s">
        <v>34</v>
      </c>
      <c r="B46" s="3">
        <v>3.305</v>
      </c>
      <c r="C46">
        <f>C42</f>
        <v>1795.5</v>
      </c>
      <c r="D46" s="2">
        <f t="shared" si="1"/>
        <v>5934.1275000000005</v>
      </c>
    </row>
    <row r="47" spans="1:14" ht="12.75">
      <c r="A47" t="s">
        <v>35</v>
      </c>
      <c r="B47" s="3">
        <v>0.136</v>
      </c>
      <c r="C47">
        <f>C43</f>
        <v>2767</v>
      </c>
      <c r="D47" s="2">
        <f t="shared" si="1"/>
        <v>376.312</v>
      </c>
      <c r="K47" t="s">
        <v>209</v>
      </c>
      <c r="N47" s="3">
        <f>SUM(B42:B47)</f>
        <v>24.7705</v>
      </c>
    </row>
    <row r="48" ht="12.75">
      <c r="D48" s="2"/>
    </row>
    <row r="49" spans="1:12" ht="12.75">
      <c r="A49" t="s">
        <v>80</v>
      </c>
      <c r="B49" s="8">
        <f>G49*L49</f>
        <v>1.454366326946883</v>
      </c>
      <c r="C49">
        <f>C42</f>
        <v>1795.5</v>
      </c>
      <c r="D49" s="2">
        <f t="shared" si="1"/>
        <v>2611.314740033128</v>
      </c>
      <c r="F49" t="s">
        <v>84</v>
      </c>
      <c r="G49">
        <f>2*PI()*B10*(B8-B7)/1000000</f>
        <v>6.958690559554464</v>
      </c>
      <c r="I49" t="s">
        <v>85</v>
      </c>
      <c r="L49">
        <v>0.209</v>
      </c>
    </row>
    <row r="50" ht="12.75">
      <c r="D50" s="2"/>
    </row>
    <row r="51" spans="1:8" ht="12.75">
      <c r="A51" t="s">
        <v>155</v>
      </c>
      <c r="B51" s="4">
        <v>5.2</v>
      </c>
      <c r="C51">
        <f>B8</f>
        <v>2767</v>
      </c>
      <c r="D51" s="2">
        <f t="shared" si="1"/>
        <v>14388.4</v>
      </c>
      <c r="H51" t="s">
        <v>135</v>
      </c>
    </row>
    <row r="52" spans="2:4" ht="12.75">
      <c r="B52" s="4"/>
      <c r="D52" s="2"/>
    </row>
    <row r="53" spans="1:6" ht="12.75">
      <c r="A53" s="5" t="s">
        <v>90</v>
      </c>
      <c r="D53" s="2">
        <f t="shared" si="1"/>
        <v>0</v>
      </c>
      <c r="F53" t="s">
        <v>46</v>
      </c>
    </row>
    <row r="54" spans="1:14" ht="12.75">
      <c r="A54" t="s">
        <v>37</v>
      </c>
      <c r="B54" s="3">
        <f>F54/2/1000</f>
        <v>0.41205</v>
      </c>
      <c r="C54">
        <f aca="true" t="shared" si="5" ref="C54:C59">C69</f>
        <v>1810</v>
      </c>
      <c r="D54" s="2">
        <f t="shared" si="1"/>
        <v>745.8105</v>
      </c>
      <c r="F54">
        <v>824.1</v>
      </c>
      <c r="N54" s="4"/>
    </row>
    <row r="55" spans="1:6" ht="12.75">
      <c r="A55" t="s">
        <v>38</v>
      </c>
      <c r="B55" s="3">
        <f aca="true" t="shared" si="6" ref="B55:B62">F55/2/1000</f>
        <v>0.38585</v>
      </c>
      <c r="C55">
        <f t="shared" si="5"/>
        <v>1850.5</v>
      </c>
      <c r="D55" s="2">
        <f t="shared" si="1"/>
        <v>714.015425</v>
      </c>
      <c r="F55">
        <v>771.7</v>
      </c>
    </row>
    <row r="56" spans="1:6" ht="12.75">
      <c r="A56" t="s">
        <v>39</v>
      </c>
      <c r="B56" s="3">
        <f t="shared" si="6"/>
        <v>0.36155000000000004</v>
      </c>
      <c r="C56">
        <f t="shared" si="5"/>
        <v>1929.5</v>
      </c>
      <c r="D56" s="2">
        <f t="shared" si="1"/>
        <v>697.6107250000001</v>
      </c>
      <c r="F56">
        <v>723.1</v>
      </c>
    </row>
    <row r="57" spans="1:6" ht="12.75">
      <c r="A57" t="s">
        <v>40</v>
      </c>
      <c r="B57" s="3">
        <f t="shared" si="6"/>
        <v>0.3559</v>
      </c>
      <c r="C57">
        <f t="shared" si="5"/>
        <v>2033.5</v>
      </c>
      <c r="D57" s="2">
        <f t="shared" si="1"/>
        <v>723.72265</v>
      </c>
      <c r="F57">
        <v>711.8</v>
      </c>
    </row>
    <row r="58" spans="1:6" ht="12.75">
      <c r="A58" t="s">
        <v>41</v>
      </c>
      <c r="B58" s="3">
        <f t="shared" si="6"/>
        <v>0.34125</v>
      </c>
      <c r="C58">
        <f t="shared" si="5"/>
        <v>2083.5</v>
      </c>
      <c r="D58" s="2">
        <f t="shared" si="1"/>
        <v>710.994375</v>
      </c>
      <c r="F58">
        <v>682.5</v>
      </c>
    </row>
    <row r="59" spans="1:6" ht="12.75">
      <c r="A59" t="s">
        <v>42</v>
      </c>
      <c r="B59" s="3">
        <f t="shared" si="6"/>
        <v>0.25645</v>
      </c>
      <c r="C59">
        <f t="shared" si="5"/>
        <v>2269</v>
      </c>
      <c r="D59" s="2">
        <f t="shared" si="1"/>
        <v>581.88505</v>
      </c>
      <c r="F59">
        <v>512.9</v>
      </c>
    </row>
    <row r="60" spans="1:8" ht="12.75">
      <c r="A60" t="s">
        <v>43</v>
      </c>
      <c r="B60" s="3">
        <f t="shared" si="6"/>
        <v>1.0809000000000002</v>
      </c>
      <c r="C60">
        <f>$C$56</f>
        <v>1929.5</v>
      </c>
      <c r="D60" s="2">
        <f t="shared" si="1"/>
        <v>2085.59655</v>
      </c>
      <c r="F60">
        <v>2161.8</v>
      </c>
      <c r="H60" t="s">
        <v>91</v>
      </c>
    </row>
    <row r="61" spans="1:8" ht="12.75">
      <c r="A61" t="s">
        <v>44</v>
      </c>
      <c r="B61" s="3">
        <f t="shared" si="6"/>
        <v>0.9196</v>
      </c>
      <c r="C61">
        <f>$C$56</f>
        <v>1929.5</v>
      </c>
      <c r="D61" s="2">
        <f t="shared" si="1"/>
        <v>1774.3682</v>
      </c>
      <c r="F61">
        <v>1839.2</v>
      </c>
      <c r="H61" t="s">
        <v>91</v>
      </c>
    </row>
    <row r="62" spans="1:8" ht="12.75">
      <c r="A62" t="s">
        <v>45</v>
      </c>
      <c r="B62" s="3">
        <f t="shared" si="6"/>
        <v>1.5009333333333335</v>
      </c>
      <c r="C62">
        <f>$C$56</f>
        <v>1929.5</v>
      </c>
      <c r="D62" s="2">
        <f t="shared" si="1"/>
        <v>2896.050866666667</v>
      </c>
      <c r="F62" s="3">
        <v>3001.866666666667</v>
      </c>
      <c r="H62" t="s">
        <v>91</v>
      </c>
    </row>
    <row r="63" spans="2:10" ht="12.75">
      <c r="B63" s="3"/>
      <c r="D63" s="2"/>
      <c r="H63" t="s">
        <v>133</v>
      </c>
      <c r="J63" s="3">
        <f>SUM(B54:B62)</f>
        <v>5.614483333333333</v>
      </c>
    </row>
    <row r="64" spans="2:10" ht="12.75">
      <c r="B64" s="3"/>
      <c r="D64" s="2"/>
      <c r="J64" s="3"/>
    </row>
    <row r="65" spans="1:4" ht="12.75">
      <c r="A65" t="s">
        <v>208</v>
      </c>
      <c r="B65" s="9">
        <v>2.2</v>
      </c>
      <c r="D65" s="2"/>
    </row>
    <row r="66" ht="12.75">
      <c r="D66" s="2"/>
    </row>
    <row r="67" spans="1:9" ht="12.75">
      <c r="A67" s="5" t="s">
        <v>54</v>
      </c>
      <c r="D67" s="2"/>
      <c r="F67" t="s">
        <v>72</v>
      </c>
      <c r="I67">
        <v>0.01134</v>
      </c>
    </row>
    <row r="68" spans="2:7" ht="12.75">
      <c r="B68" s="3"/>
      <c r="D68" s="2"/>
      <c r="F68" t="s">
        <v>55</v>
      </c>
      <c r="G68" t="s">
        <v>56</v>
      </c>
    </row>
    <row r="69" spans="1:7" ht="12.75">
      <c r="A69" t="s">
        <v>57</v>
      </c>
      <c r="B69" s="3">
        <f aca="true" t="shared" si="7" ref="B69:B77">I28*$I$67*(G69-F69)/1000</f>
        <v>1.99683792</v>
      </c>
      <c r="C69">
        <f>(F69+G69)/2</f>
        <v>1810</v>
      </c>
      <c r="D69" s="2">
        <f t="shared" si="1"/>
        <v>3614.2766352</v>
      </c>
      <c r="F69">
        <f>C28</f>
        <v>853</v>
      </c>
      <c r="G69">
        <f aca="true" t="shared" si="8" ref="G69:G77">$B$8</f>
        <v>2767</v>
      </c>
    </row>
    <row r="70" spans="1:7" ht="12.75">
      <c r="A70" t="s">
        <v>58</v>
      </c>
      <c r="B70" s="3">
        <f t="shared" si="7"/>
        <v>2.74378104</v>
      </c>
      <c r="C70">
        <f aca="true" t="shared" si="9" ref="C70:C77">(F70+G70)/2</f>
        <v>1850.5</v>
      </c>
      <c r="D70" s="2">
        <f t="shared" si="1"/>
        <v>5077.36681452</v>
      </c>
      <c r="F70">
        <f aca="true" t="shared" si="10" ref="F70:F77">C29</f>
        <v>934</v>
      </c>
      <c r="G70">
        <f t="shared" si="8"/>
        <v>2767</v>
      </c>
    </row>
    <row r="71" spans="1:7" ht="12.75">
      <c r="A71" t="s">
        <v>59</v>
      </c>
      <c r="B71" s="3">
        <f t="shared" si="7"/>
        <v>2.507274</v>
      </c>
      <c r="C71">
        <f>(F71+G71)/2</f>
        <v>1929.5</v>
      </c>
      <c r="D71" s="2">
        <f t="shared" si="1"/>
        <v>4837.785183</v>
      </c>
      <c r="F71">
        <f t="shared" si="10"/>
        <v>1092</v>
      </c>
      <c r="G71">
        <f t="shared" si="8"/>
        <v>2767</v>
      </c>
    </row>
    <row r="72" spans="1:7" ht="12.75">
      <c r="A72" t="s">
        <v>60</v>
      </c>
      <c r="B72" s="3">
        <f t="shared" si="7"/>
        <v>2.19592296</v>
      </c>
      <c r="C72">
        <f t="shared" si="9"/>
        <v>2033.5</v>
      </c>
      <c r="D72" s="2">
        <f t="shared" si="1"/>
        <v>4465.40933916</v>
      </c>
      <c r="F72">
        <f t="shared" si="10"/>
        <v>1300</v>
      </c>
      <c r="G72">
        <f t="shared" si="8"/>
        <v>2767</v>
      </c>
    </row>
    <row r="73" spans="1:7" ht="12.75">
      <c r="A73" t="s">
        <v>61</v>
      </c>
      <c r="B73" s="3">
        <f t="shared" si="7"/>
        <v>2.04623496</v>
      </c>
      <c r="C73">
        <f t="shared" si="9"/>
        <v>2083.5</v>
      </c>
      <c r="D73" s="2">
        <f t="shared" si="1"/>
        <v>4263.33053916</v>
      </c>
      <c r="F73">
        <f t="shared" si="10"/>
        <v>1400</v>
      </c>
      <c r="G73">
        <f t="shared" si="8"/>
        <v>2767</v>
      </c>
    </row>
    <row r="74" spans="1:7" ht="12.75">
      <c r="A74" t="s">
        <v>62</v>
      </c>
      <c r="B74" s="3">
        <f t="shared" si="7"/>
        <v>1.49089248</v>
      </c>
      <c r="C74">
        <f t="shared" si="9"/>
        <v>2269</v>
      </c>
      <c r="D74" s="2">
        <f t="shared" si="1"/>
        <v>3382.8350371200004</v>
      </c>
      <c r="F74">
        <f t="shared" si="10"/>
        <v>1771</v>
      </c>
      <c r="G74">
        <f t="shared" si="8"/>
        <v>2767</v>
      </c>
    </row>
    <row r="75" spans="1:7" ht="12.75">
      <c r="A75" t="s">
        <v>63</v>
      </c>
      <c r="B75" s="3">
        <f t="shared" si="7"/>
        <v>0.68021856</v>
      </c>
      <c r="C75">
        <f t="shared" si="9"/>
        <v>2441</v>
      </c>
      <c r="D75" s="2">
        <f t="shared" si="1"/>
        <v>1660.41350496</v>
      </c>
      <c r="F75">
        <f t="shared" si="10"/>
        <v>2115</v>
      </c>
      <c r="G75">
        <f t="shared" si="8"/>
        <v>2767</v>
      </c>
    </row>
    <row r="76" spans="1:7" ht="12.75">
      <c r="A76" t="s">
        <v>64</v>
      </c>
      <c r="B76" s="3">
        <f t="shared" si="7"/>
        <v>0.27333936</v>
      </c>
      <c r="C76">
        <f t="shared" si="9"/>
        <v>2636</v>
      </c>
      <c r="D76" s="2">
        <f t="shared" si="1"/>
        <v>720.52255296</v>
      </c>
      <c r="F76">
        <f t="shared" si="10"/>
        <v>2505</v>
      </c>
      <c r="G76">
        <f t="shared" si="8"/>
        <v>2767</v>
      </c>
    </row>
    <row r="77" spans="1:7" ht="12.75">
      <c r="A77" t="s">
        <v>65</v>
      </c>
      <c r="B77" s="3">
        <f t="shared" si="7"/>
        <v>0.027714959999999997</v>
      </c>
      <c r="C77">
        <f t="shared" si="9"/>
        <v>2743.5</v>
      </c>
      <c r="D77" s="2">
        <f t="shared" si="1"/>
        <v>76.03599275999998</v>
      </c>
      <c r="F77">
        <f t="shared" si="10"/>
        <v>2720</v>
      </c>
      <c r="G77">
        <f t="shared" si="8"/>
        <v>2767</v>
      </c>
    </row>
    <row r="78" spans="1:4" ht="12.75">
      <c r="A78" t="s">
        <v>73</v>
      </c>
      <c r="B78" s="3">
        <f>I37*$I$67*(B11-B10)/1000</f>
        <v>5.9380776</v>
      </c>
      <c r="C78">
        <f>B8</f>
        <v>2767</v>
      </c>
      <c r="D78" s="2">
        <f t="shared" si="1"/>
        <v>16430.6607192</v>
      </c>
    </row>
    <row r="79" spans="1:12" ht="12.75">
      <c r="A79" t="s">
        <v>77</v>
      </c>
      <c r="B79" s="3">
        <f>I37*$I$67*(B12-B8)/1000</f>
        <v>6.30780696</v>
      </c>
      <c r="C79">
        <f>(B12+B8)/2</f>
        <v>3048.5</v>
      </c>
      <c r="D79" s="2">
        <f t="shared" si="1"/>
        <v>19229.34951756</v>
      </c>
      <c r="H79" t="s">
        <v>79</v>
      </c>
      <c r="J79" s="3">
        <f>SUM(B69:B79)</f>
        <v>26.208100799999997</v>
      </c>
      <c r="L79" t="s">
        <v>78</v>
      </c>
    </row>
    <row r="80" spans="1:8" ht="12.75">
      <c r="A80" t="s">
        <v>53</v>
      </c>
      <c r="B80" s="3">
        <v>4.9</v>
      </c>
      <c r="C80">
        <f>C42</f>
        <v>1795.5</v>
      </c>
      <c r="D80" s="2">
        <f>B80*C80</f>
        <v>8797.95</v>
      </c>
      <c r="H80" t="s">
        <v>81</v>
      </c>
    </row>
    <row r="81" spans="1:4" ht="12.75">
      <c r="A81" t="s">
        <v>238</v>
      </c>
      <c r="B81">
        <v>6.8</v>
      </c>
      <c r="C81">
        <f>B12</f>
        <v>3330</v>
      </c>
      <c r="D81" s="2">
        <f t="shared" si="1"/>
        <v>22644</v>
      </c>
    </row>
    <row r="82" ht="12.75">
      <c r="D82" s="2"/>
    </row>
    <row r="83" spans="1:9" ht="12.75">
      <c r="A83" t="s">
        <v>92</v>
      </c>
      <c r="B83">
        <v>1.5</v>
      </c>
      <c r="C83">
        <f>C71</f>
        <v>1929.5</v>
      </c>
      <c r="D83" s="2">
        <f t="shared" si="1"/>
        <v>2894.25</v>
      </c>
      <c r="H83" t="s">
        <v>82</v>
      </c>
      <c r="I83" s="2"/>
    </row>
    <row r="84" spans="4:9" ht="12.75">
      <c r="D84" s="2"/>
      <c r="I84" s="2"/>
    </row>
    <row r="85" spans="1:14" ht="12.75">
      <c r="A85" s="5" t="s">
        <v>102</v>
      </c>
      <c r="B85" s="4"/>
      <c r="D85" s="2"/>
      <c r="F85" t="s">
        <v>72</v>
      </c>
      <c r="I85" s="10">
        <f>1.22/1000</f>
        <v>0.00122</v>
      </c>
      <c r="K85" t="s">
        <v>114</v>
      </c>
      <c r="L85">
        <f>3.28/1000</f>
        <v>0.00328</v>
      </c>
      <c r="M85" t="s">
        <v>115</v>
      </c>
      <c r="N85">
        <f>5.86/1000</f>
        <v>0.005860000000000001</v>
      </c>
    </row>
    <row r="86" spans="4:9" ht="12.75">
      <c r="D86" s="2"/>
      <c r="F86" t="str">
        <f>F68</f>
        <v>z1</v>
      </c>
      <c r="G86" t="str">
        <f>G68</f>
        <v>z2</v>
      </c>
      <c r="H86" t="s">
        <v>112</v>
      </c>
      <c r="I86" t="s">
        <v>113</v>
      </c>
    </row>
    <row r="87" spans="1:9" ht="12.75">
      <c r="A87" t="s">
        <v>103</v>
      </c>
      <c r="B87" s="3">
        <f aca="true" t="shared" si="11" ref="B87:B95">H87*$L$85+I87*$N$85+(H87+I87)*$I$85*(G87-F87)/1000</f>
        <v>0.15540192</v>
      </c>
      <c r="C87">
        <f>C69</f>
        <v>1810</v>
      </c>
      <c r="D87" s="2">
        <f t="shared" si="1"/>
        <v>281.2774752</v>
      </c>
      <c r="F87">
        <f aca="true" t="shared" si="12" ref="F87:G95">F69</f>
        <v>853</v>
      </c>
      <c r="G87">
        <f t="shared" si="12"/>
        <v>2767</v>
      </c>
      <c r="H87">
        <v>16</v>
      </c>
      <c r="I87">
        <v>8</v>
      </c>
    </row>
    <row r="88" spans="1:9" ht="12.75">
      <c r="A88" t="s">
        <v>104</v>
      </c>
      <c r="B88" s="3">
        <f t="shared" si="11"/>
        <v>0.22954536</v>
      </c>
      <c r="C88">
        <f aca="true" t="shared" si="13" ref="C88:C96">C70</f>
        <v>1850.5</v>
      </c>
      <c r="D88" s="2">
        <f t="shared" si="1"/>
        <v>424.77368868</v>
      </c>
      <c r="F88">
        <f t="shared" si="12"/>
        <v>934</v>
      </c>
      <c r="G88">
        <f t="shared" si="12"/>
        <v>2767</v>
      </c>
      <c r="H88">
        <v>24</v>
      </c>
      <c r="I88">
        <v>12</v>
      </c>
    </row>
    <row r="89" spans="1:9" ht="12.75">
      <c r="A89" t="s">
        <v>105</v>
      </c>
      <c r="B89" s="3">
        <f t="shared" si="11"/>
        <v>0.22260600000000003</v>
      </c>
      <c r="C89">
        <f t="shared" si="13"/>
        <v>1929.5</v>
      </c>
      <c r="D89" s="2">
        <f t="shared" si="1"/>
        <v>429.51827700000007</v>
      </c>
      <c r="F89">
        <f t="shared" si="12"/>
        <v>1092</v>
      </c>
      <c r="G89">
        <f t="shared" si="12"/>
        <v>2767</v>
      </c>
      <c r="H89">
        <v>24</v>
      </c>
      <c r="I89">
        <v>12</v>
      </c>
    </row>
    <row r="90" spans="1:9" ht="12.75">
      <c r="A90" t="s">
        <v>106</v>
      </c>
      <c r="B90" s="3">
        <f t="shared" si="11"/>
        <v>0.21347064</v>
      </c>
      <c r="C90">
        <f t="shared" si="13"/>
        <v>2033.5</v>
      </c>
      <c r="D90" s="2">
        <f t="shared" si="1"/>
        <v>434.09254644</v>
      </c>
      <c r="F90">
        <f t="shared" si="12"/>
        <v>1300</v>
      </c>
      <c r="G90">
        <f t="shared" si="12"/>
        <v>2767</v>
      </c>
      <c r="H90">
        <v>24</v>
      </c>
      <c r="I90">
        <v>12</v>
      </c>
    </row>
    <row r="91" spans="1:9" ht="12.75">
      <c r="A91" t="s">
        <v>107</v>
      </c>
      <c r="B91" s="3">
        <f t="shared" si="11"/>
        <v>0.20907864</v>
      </c>
      <c r="C91">
        <f t="shared" si="13"/>
        <v>2083.5</v>
      </c>
      <c r="D91" s="2">
        <f t="shared" si="1"/>
        <v>435.61534644</v>
      </c>
      <c r="F91">
        <f t="shared" si="12"/>
        <v>1400</v>
      </c>
      <c r="G91">
        <f t="shared" si="12"/>
        <v>2767</v>
      </c>
      <c r="H91">
        <v>24</v>
      </c>
      <c r="I91">
        <v>12</v>
      </c>
    </row>
    <row r="92" spans="1:9" ht="12.75">
      <c r="A92" t="s">
        <v>108</v>
      </c>
      <c r="B92" s="3">
        <f t="shared" si="11"/>
        <v>0.19278432</v>
      </c>
      <c r="C92">
        <f t="shared" si="13"/>
        <v>2269</v>
      </c>
      <c r="D92" s="2">
        <f t="shared" si="1"/>
        <v>437.42762208000005</v>
      </c>
      <c r="F92">
        <f t="shared" si="12"/>
        <v>1771</v>
      </c>
      <c r="G92">
        <f t="shared" si="12"/>
        <v>2767</v>
      </c>
      <c r="H92">
        <v>24</v>
      </c>
      <c r="I92">
        <v>12</v>
      </c>
    </row>
    <row r="93" spans="1:9" ht="12.75">
      <c r="A93" t="s">
        <v>109</v>
      </c>
      <c r="B93" s="3">
        <f t="shared" si="11"/>
        <v>0.11845056000000001</v>
      </c>
      <c r="C93">
        <f t="shared" si="13"/>
        <v>2441</v>
      </c>
      <c r="D93" s="2">
        <f t="shared" si="1"/>
        <v>289.13781696</v>
      </c>
      <c r="F93">
        <f t="shared" si="12"/>
        <v>2115</v>
      </c>
      <c r="G93">
        <f t="shared" si="12"/>
        <v>2767</v>
      </c>
      <c r="H93">
        <v>16</v>
      </c>
      <c r="I93">
        <v>8</v>
      </c>
    </row>
    <row r="94" spans="1:9" ht="12.75">
      <c r="A94" t="s">
        <v>110</v>
      </c>
      <c r="B94" s="3">
        <f t="shared" si="11"/>
        <v>0.10703136</v>
      </c>
      <c r="C94">
        <f t="shared" si="13"/>
        <v>2636</v>
      </c>
      <c r="D94" s="2">
        <f t="shared" si="1"/>
        <v>282.13466496</v>
      </c>
      <c r="F94">
        <f t="shared" si="12"/>
        <v>2505</v>
      </c>
      <c r="G94">
        <f t="shared" si="12"/>
        <v>2767</v>
      </c>
      <c r="H94">
        <v>16</v>
      </c>
      <c r="I94">
        <v>8</v>
      </c>
    </row>
    <row r="95" spans="1:9" ht="12.75">
      <c r="A95" t="s">
        <v>111</v>
      </c>
      <c r="B95" s="3">
        <f t="shared" si="11"/>
        <v>0.05962276</v>
      </c>
      <c r="C95">
        <f t="shared" si="13"/>
        <v>2743.5</v>
      </c>
      <c r="D95" s="2">
        <f t="shared" si="1"/>
        <v>163.57504206</v>
      </c>
      <c r="F95">
        <f t="shared" si="12"/>
        <v>2720</v>
      </c>
      <c r="G95">
        <f t="shared" si="12"/>
        <v>2767</v>
      </c>
      <c r="H95">
        <v>9</v>
      </c>
      <c r="I95">
        <v>5</v>
      </c>
    </row>
    <row r="96" spans="1:10" ht="12.75">
      <c r="A96" t="s">
        <v>116</v>
      </c>
      <c r="B96" s="3">
        <f>(H96+I96)*$I$85*(B11-B10)/1000</f>
        <v>0.1719956</v>
      </c>
      <c r="C96">
        <f t="shared" si="13"/>
        <v>2767</v>
      </c>
      <c r="D96" s="2">
        <f t="shared" si="1"/>
        <v>475.9118252</v>
      </c>
      <c r="H96">
        <f>SUM(H87:H95)</f>
        <v>177</v>
      </c>
      <c r="I96">
        <f>SUM(I87:I95)</f>
        <v>89</v>
      </c>
      <c r="J96">
        <f>SUM(H96:I96)</f>
        <v>266</v>
      </c>
    </row>
    <row r="97" spans="1:10" ht="12.75">
      <c r="A97" t="s">
        <v>117</v>
      </c>
      <c r="B97" s="3">
        <f>(H96+I96)*$I$85*(B12-B8)/1000</f>
        <v>0.18270476</v>
      </c>
      <c r="C97">
        <f>C79</f>
        <v>3048.5</v>
      </c>
      <c r="D97" s="2">
        <f t="shared" si="1"/>
        <v>556.97546086</v>
      </c>
      <c r="H97" t="s">
        <v>131</v>
      </c>
      <c r="J97" s="3">
        <f>SUM(B87:B97)</f>
        <v>1.8626919199999998</v>
      </c>
    </row>
    <row r="98" spans="4:9" ht="12.75">
      <c r="D98" s="2"/>
      <c r="I98" s="2"/>
    </row>
    <row r="99" spans="1:12" ht="12.75">
      <c r="A99" t="s">
        <v>88</v>
      </c>
      <c r="B99" s="9">
        <f>G99*L99+B49</f>
        <v>4.794537795533026</v>
      </c>
      <c r="C99">
        <f>C42</f>
        <v>1795.5</v>
      </c>
      <c r="D99" s="2">
        <f t="shared" si="1"/>
        <v>8608.592611879549</v>
      </c>
      <c r="F99" t="s">
        <v>86</v>
      </c>
      <c r="G99">
        <f>G49*0.008</f>
        <v>0.055669524476435715</v>
      </c>
      <c r="I99" s="2" t="s">
        <v>87</v>
      </c>
      <c r="L99">
        <v>60</v>
      </c>
    </row>
    <row r="100" spans="1:12" ht="12.75">
      <c r="A100" t="s">
        <v>97</v>
      </c>
      <c r="B100" s="9">
        <f>G100*$L$99+B49*B9/B10</f>
        <v>1.6156370327218206</v>
      </c>
      <c r="C100">
        <f>C42</f>
        <v>1795.5</v>
      </c>
      <c r="D100" s="2">
        <f>B100*C100</f>
        <v>2900.8762922520286</v>
      </c>
      <c r="F100" t="s">
        <v>86</v>
      </c>
      <c r="G100">
        <f>2*PI()*B9*(B8-B7)/1000000*0.005</f>
        <v>0.015870697767404917</v>
      </c>
      <c r="I100" s="2" t="s">
        <v>87</v>
      </c>
      <c r="L100">
        <v>60</v>
      </c>
    </row>
    <row r="101" spans="1:9" ht="12.75">
      <c r="A101" t="s">
        <v>132</v>
      </c>
      <c r="B101" s="9">
        <f>G101*L99</f>
        <v>0.5819988886334307</v>
      </c>
      <c r="C101">
        <f>B8</f>
        <v>2767</v>
      </c>
      <c r="D101" s="2">
        <f t="shared" si="1"/>
        <v>1610.390924848703</v>
      </c>
      <c r="F101" t="s">
        <v>86</v>
      </c>
      <c r="G101">
        <f>PI()*(B10*B10-B9*B9)*0.012/1000000</f>
        <v>0.009699981477223845</v>
      </c>
      <c r="I101" s="2"/>
    </row>
    <row r="102" spans="1:9" ht="12.75">
      <c r="A102" t="s">
        <v>202</v>
      </c>
      <c r="B102" s="9">
        <f>12*I102/1000</f>
        <v>1.0368000000000002</v>
      </c>
      <c r="C102">
        <f>C42</f>
        <v>1795.5</v>
      </c>
      <c r="D102" s="2">
        <f>B102*C102</f>
        <v>1861.5744000000002</v>
      </c>
      <c r="H102" t="s">
        <v>160</v>
      </c>
      <c r="I102" s="2">
        <v>86.4</v>
      </c>
    </row>
    <row r="103" spans="1:9" ht="12.75">
      <c r="A103" t="s">
        <v>203</v>
      </c>
      <c r="B103" s="9">
        <f>12/68*B102</f>
        <v>0.18296470588235297</v>
      </c>
      <c r="C103">
        <f>B7</f>
        <v>824</v>
      </c>
      <c r="D103" s="2">
        <f>B103*C103</f>
        <v>150.76291764705886</v>
      </c>
      <c r="I103" s="2"/>
    </row>
    <row r="104" spans="1:9" ht="12.75">
      <c r="A104" t="s">
        <v>204</v>
      </c>
      <c r="B104" s="9">
        <f>20/68*B102</f>
        <v>0.30494117647058827</v>
      </c>
      <c r="C104">
        <f>B8</f>
        <v>2767</v>
      </c>
      <c r="D104" s="2">
        <f>B104*C104</f>
        <v>843.7722352941178</v>
      </c>
      <c r="I104" s="2"/>
    </row>
    <row r="105" spans="1:8" ht="12.75">
      <c r="A105" t="s">
        <v>100</v>
      </c>
      <c r="B105" s="9">
        <f>8*0.132</f>
        <v>1.056</v>
      </c>
      <c r="C105">
        <f>C42</f>
        <v>1795.5</v>
      </c>
      <c r="D105" s="2">
        <f t="shared" si="1"/>
        <v>1896.048</v>
      </c>
      <c r="H105" s="2" t="s">
        <v>101</v>
      </c>
    </row>
    <row r="106" spans="2:9" ht="12.75">
      <c r="B106" s="4"/>
      <c r="D106" s="2"/>
      <c r="I106" s="2"/>
    </row>
    <row r="107" spans="1:9" ht="12.75">
      <c r="A107" s="4" t="s">
        <v>241</v>
      </c>
      <c r="B107" s="9">
        <f>2/3*16.6</f>
        <v>11.066666666666666</v>
      </c>
      <c r="C107">
        <f>B8</f>
        <v>2767</v>
      </c>
      <c r="D107" s="2">
        <f t="shared" si="1"/>
        <v>30621.466666666667</v>
      </c>
      <c r="I107" s="2"/>
    </row>
    <row r="108" spans="4:9" ht="12.75">
      <c r="D108" s="2"/>
      <c r="I108" s="2"/>
    </row>
    <row r="109" spans="1:4" ht="12.75">
      <c r="A109" s="11" t="s">
        <v>154</v>
      </c>
      <c r="B109">
        <v>10</v>
      </c>
      <c r="C109">
        <f>B8</f>
        <v>2767</v>
      </c>
      <c r="D109" s="2">
        <f>B109*C109</f>
        <v>27670</v>
      </c>
    </row>
    <row r="110" ht="12.75">
      <c r="D110" s="2"/>
    </row>
    <row r="111" spans="1:4" ht="12.75">
      <c r="A111" t="s">
        <v>159</v>
      </c>
      <c r="B111">
        <v>0.3</v>
      </c>
      <c r="C111">
        <f>B7</f>
        <v>824</v>
      </c>
      <c r="D111" s="2">
        <f>B111*C111</f>
        <v>247.2</v>
      </c>
    </row>
    <row r="112" spans="1:4" ht="12.75">
      <c r="A112" t="s">
        <v>159</v>
      </c>
      <c r="B112">
        <v>5.6</v>
      </c>
      <c r="C112">
        <f>C42</f>
        <v>1795.5</v>
      </c>
      <c r="D112" s="2">
        <f>B112*C112</f>
        <v>10054.8</v>
      </c>
    </row>
    <row r="113" spans="1:4" ht="12.75">
      <c r="A113" t="s">
        <v>159</v>
      </c>
      <c r="B113">
        <v>1.6</v>
      </c>
      <c r="C113">
        <f>B8</f>
        <v>2767</v>
      </c>
      <c r="D113" s="2">
        <f>B113*C113</f>
        <v>4427.2</v>
      </c>
    </row>
    <row r="114" spans="4:9" ht="12.75">
      <c r="D114" s="2"/>
      <c r="I114" s="2"/>
    </row>
    <row r="115" spans="1:9" ht="12.75">
      <c r="A115" s="29" t="s">
        <v>47</v>
      </c>
      <c r="B115" s="30">
        <f>SUM(B14:B114)</f>
        <v>173.27276433485724</v>
      </c>
      <c r="C115" s="2"/>
      <c r="D115" s="2">
        <f>SUM(D14:D114)</f>
        <v>354153.291884948</v>
      </c>
      <c r="G115" t="s">
        <v>83</v>
      </c>
      <c r="H115" s="2">
        <f>D115/B115</f>
        <v>2043.9062840858887</v>
      </c>
      <c r="I115" s="2"/>
    </row>
    <row r="116" spans="4:9" ht="12.75">
      <c r="D116" s="2"/>
      <c r="I116" s="2"/>
    </row>
    <row r="117" spans="4:9" ht="12.75">
      <c r="D117" s="2"/>
      <c r="I117" s="2"/>
    </row>
    <row r="118" spans="4:9" ht="12.75">
      <c r="D118" s="2"/>
      <c r="I118" s="2"/>
    </row>
    <row r="119" spans="1:9" ht="12.75">
      <c r="A119" t="s">
        <v>156</v>
      </c>
      <c r="B119">
        <f>-B109</f>
        <v>-10</v>
      </c>
      <c r="C119">
        <f>C109</f>
        <v>2767</v>
      </c>
      <c r="D119" s="2">
        <f>B119*C119</f>
        <v>-27670</v>
      </c>
      <c r="I119" s="2"/>
    </row>
    <row r="120" spans="1:9" ht="12.75">
      <c r="A120" t="s">
        <v>94</v>
      </c>
      <c r="B120">
        <v>9.4</v>
      </c>
      <c r="C120">
        <f>B8</f>
        <v>2767</v>
      </c>
      <c r="D120" s="2">
        <f>B120*C120</f>
        <v>26009.8</v>
      </c>
      <c r="I120" s="2"/>
    </row>
    <row r="121" spans="1:9" ht="12.75">
      <c r="A121" t="s">
        <v>235</v>
      </c>
      <c r="B121" s="32">
        <f>0.5*B107</f>
        <v>5.533333333333333</v>
      </c>
      <c r="D121" s="2"/>
      <c r="I121" s="2"/>
    </row>
    <row r="122" spans="1:9" ht="12.75">
      <c r="A122" t="s">
        <v>95</v>
      </c>
      <c r="B122" s="3">
        <v>7.92</v>
      </c>
      <c r="C122" s="4">
        <v>3040</v>
      </c>
      <c r="D122" s="2">
        <f>B122*C122</f>
        <v>24076.8</v>
      </c>
      <c r="I122" s="2"/>
    </row>
    <row r="123" spans="1:4" ht="12.75">
      <c r="A123" t="s">
        <v>96</v>
      </c>
      <c r="B123">
        <v>3.1</v>
      </c>
      <c r="C123">
        <f>C124</f>
        <v>3048.5</v>
      </c>
      <c r="D123" s="2">
        <f>B123*C123</f>
        <v>9450.35</v>
      </c>
    </row>
    <row r="124" spans="1:11" ht="12.75">
      <c r="A124" s="33" t="s">
        <v>93</v>
      </c>
      <c r="B124" s="33">
        <f>0.5*9</f>
        <v>4.5</v>
      </c>
      <c r="C124">
        <f>C79</f>
        <v>3048.5</v>
      </c>
      <c r="D124" s="2">
        <f>B121*C124</f>
        <v>16868.366666666665</v>
      </c>
      <c r="H124" s="28" t="s">
        <v>236</v>
      </c>
      <c r="I124" s="27"/>
      <c r="J124" s="27"/>
      <c r="K124" s="27"/>
    </row>
    <row r="125" ht="12.75">
      <c r="D125" s="2"/>
    </row>
    <row r="126" spans="1:11" ht="12.75">
      <c r="A126" s="27" t="s">
        <v>157</v>
      </c>
      <c r="B126" s="27" t="s">
        <v>158</v>
      </c>
      <c r="D126" s="2"/>
      <c r="H126" s="27" t="s">
        <v>136</v>
      </c>
      <c r="I126" s="27"/>
      <c r="J126" s="27"/>
      <c r="K126" s="27"/>
    </row>
    <row r="127" spans="1:12" ht="12.75">
      <c r="A127" s="4"/>
      <c r="B127" s="4"/>
      <c r="C127" s="4"/>
      <c r="D127" s="32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 t="s">
        <v>150</v>
      </c>
      <c r="B128" s="9">
        <v>1</v>
      </c>
      <c r="C128" s="4">
        <f>C42</f>
        <v>1795.5</v>
      </c>
      <c r="D128" s="32">
        <f>B128*C128</f>
        <v>1795.5</v>
      </c>
      <c r="E128" s="4"/>
      <c r="F128" s="4"/>
      <c r="G128" s="4"/>
      <c r="H128" s="4" t="s">
        <v>151</v>
      </c>
      <c r="I128" s="4"/>
      <c r="J128" s="9"/>
      <c r="K128" s="4"/>
      <c r="L128" s="4"/>
    </row>
    <row r="129" spans="2:4" ht="12.75">
      <c r="B129" s="4"/>
      <c r="D129" s="2"/>
    </row>
    <row r="130" spans="1:4" ht="12.75">
      <c r="A130" t="s">
        <v>159</v>
      </c>
      <c r="B130">
        <v>3.5</v>
      </c>
      <c r="C130">
        <f>(B8+B11)/2</f>
        <v>1933.5</v>
      </c>
      <c r="D130" s="2">
        <f>B130*C130</f>
        <v>6767.25</v>
      </c>
    </row>
    <row r="131" ht="12.75">
      <c r="D131" s="2"/>
    </row>
    <row r="132" spans="1:8" ht="12.75">
      <c r="A132" s="22" t="s">
        <v>237</v>
      </c>
      <c r="B132" s="21">
        <f>SUM(B115:B131)</f>
        <v>198.22609766819056</v>
      </c>
      <c r="C132" s="2"/>
      <c r="D132" s="2">
        <f>SUM(D115:D131)</f>
        <v>411451.35855161457</v>
      </c>
      <c r="G132" s="23" t="s">
        <v>83</v>
      </c>
      <c r="H132" s="21">
        <f>D132/B132</f>
        <v>2075.6669449263964</v>
      </c>
    </row>
    <row r="135" spans="1:2" ht="12.75">
      <c r="A135" s="23" t="s">
        <v>152</v>
      </c>
      <c r="B135" s="21">
        <f>0.5*(B8-$H$132)/($B$8-$B$7)*$B$132</f>
        <v>35.26511932482468</v>
      </c>
    </row>
    <row r="136" spans="1:2" ht="12.75">
      <c r="A136" s="23" t="s">
        <v>152</v>
      </c>
      <c r="B136" s="21">
        <f>0.5*($H$132-B7)/($B$8-$B$7)*$B$132</f>
        <v>63.8479295092706</v>
      </c>
    </row>
    <row r="138" ht="12.75">
      <c r="B138" t="s">
        <v>207</v>
      </c>
    </row>
    <row r="139" ht="12.75">
      <c r="B139" t="s">
        <v>205</v>
      </c>
    </row>
    <row r="140" ht="12.75">
      <c r="B140" t="s">
        <v>206</v>
      </c>
    </row>
    <row r="142" ht="12.75">
      <c r="A142" s="1" t="s">
        <v>210</v>
      </c>
    </row>
    <row r="143" ht="12.75">
      <c r="B143" s="7" t="s">
        <v>211</v>
      </c>
    </row>
    <row r="144" ht="12.75">
      <c r="B144" t="s">
        <v>212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3.28125" style="0" customWidth="1"/>
  </cols>
  <sheetData>
    <row r="1" ht="12.75">
      <c r="A1" s="6" t="s">
        <v>99</v>
      </c>
    </row>
    <row r="2" ht="12.75">
      <c r="A2" s="6"/>
    </row>
    <row r="3" ht="12.75">
      <c r="A3" s="5" t="s">
        <v>68</v>
      </c>
    </row>
    <row r="4" spans="1:2" ht="12.75">
      <c r="A4" s="7" t="s">
        <v>69</v>
      </c>
      <c r="B4">
        <v>824</v>
      </c>
    </row>
    <row r="5" spans="1:2" ht="12.75">
      <c r="A5" s="7" t="s">
        <v>70</v>
      </c>
      <c r="B5">
        <v>2767</v>
      </c>
    </row>
    <row r="6" spans="1:2" ht="12.75">
      <c r="A6" s="7" t="s">
        <v>89</v>
      </c>
      <c r="B6">
        <v>260</v>
      </c>
    </row>
    <row r="7" spans="1:2" ht="12.75">
      <c r="A7" s="7" t="s">
        <v>74</v>
      </c>
      <c r="B7">
        <v>570</v>
      </c>
    </row>
    <row r="8" spans="1:2" ht="12.75">
      <c r="A8" s="7" t="s">
        <v>75</v>
      </c>
      <c r="B8">
        <v>1100</v>
      </c>
    </row>
    <row r="9" spans="1:2" ht="12.75">
      <c r="A9" s="7" t="s">
        <v>76</v>
      </c>
      <c r="B9">
        <v>3330</v>
      </c>
    </row>
    <row r="10" ht="12.75">
      <c r="A10" s="6"/>
    </row>
    <row r="12" spans="1:14" ht="12.75">
      <c r="A12" t="s">
        <v>102</v>
      </c>
      <c r="F12" t="s">
        <v>72</v>
      </c>
      <c r="I12">
        <v>0.00122</v>
      </c>
      <c r="K12" t="s">
        <v>114</v>
      </c>
      <c r="L12">
        <v>0.00328</v>
      </c>
      <c r="M12" t="s">
        <v>115</v>
      </c>
      <c r="N12">
        <v>0.005860000000000001</v>
      </c>
    </row>
    <row r="13" spans="6:10" ht="12.75">
      <c r="F13" t="s">
        <v>55</v>
      </c>
      <c r="G13" t="s">
        <v>56</v>
      </c>
      <c r="I13" t="s">
        <v>112</v>
      </c>
      <c r="J13" t="s">
        <v>113</v>
      </c>
    </row>
    <row r="14" spans="1:10" ht="12.75">
      <c r="A14" t="s">
        <v>103</v>
      </c>
      <c r="B14">
        <v>0.15540192</v>
      </c>
      <c r="C14">
        <v>1810</v>
      </c>
      <c r="D14">
        <v>281.2774752</v>
      </c>
      <c r="F14">
        <v>853</v>
      </c>
      <c r="G14">
        <v>2767</v>
      </c>
      <c r="I14">
        <v>16</v>
      </c>
      <c r="J14">
        <v>8</v>
      </c>
    </row>
    <row r="15" spans="1:10" ht="12.75">
      <c r="A15" t="s">
        <v>104</v>
      </c>
      <c r="B15">
        <v>0.22954536</v>
      </c>
      <c r="C15">
        <v>1850.5</v>
      </c>
      <c r="D15">
        <v>424.77368868</v>
      </c>
      <c r="F15">
        <v>934</v>
      </c>
      <c r="G15">
        <v>2767</v>
      </c>
      <c r="I15">
        <v>24</v>
      </c>
      <c r="J15">
        <v>12</v>
      </c>
    </row>
    <row r="16" spans="1:10" ht="12.75">
      <c r="A16" t="s">
        <v>105</v>
      </c>
      <c r="B16">
        <v>0.22260600000000003</v>
      </c>
      <c r="C16">
        <v>1929.5</v>
      </c>
      <c r="D16">
        <v>429.51827700000007</v>
      </c>
      <c r="F16">
        <v>1092</v>
      </c>
      <c r="G16">
        <v>2767</v>
      </c>
      <c r="I16">
        <v>24</v>
      </c>
      <c r="J16">
        <v>12</v>
      </c>
    </row>
    <row r="17" spans="1:10" ht="12.75">
      <c r="A17" t="s">
        <v>106</v>
      </c>
      <c r="B17">
        <v>0.21347064</v>
      </c>
      <c r="C17">
        <v>2033.5</v>
      </c>
      <c r="D17">
        <v>434.09254644</v>
      </c>
      <c r="F17">
        <v>1300</v>
      </c>
      <c r="G17">
        <v>2767</v>
      </c>
      <c r="I17">
        <v>24</v>
      </c>
      <c r="J17">
        <v>12</v>
      </c>
    </row>
    <row r="18" spans="1:10" ht="12.75">
      <c r="A18" t="s">
        <v>107</v>
      </c>
      <c r="B18">
        <v>0.20907864</v>
      </c>
      <c r="C18">
        <v>2083.5</v>
      </c>
      <c r="D18">
        <v>435.61534644</v>
      </c>
      <c r="F18">
        <v>1400</v>
      </c>
      <c r="G18">
        <v>2767</v>
      </c>
      <c r="I18">
        <v>24</v>
      </c>
      <c r="J18">
        <v>12</v>
      </c>
    </row>
    <row r="19" spans="1:10" ht="12.75">
      <c r="A19" t="s">
        <v>108</v>
      </c>
      <c r="B19">
        <v>0.19278432</v>
      </c>
      <c r="C19">
        <v>2269</v>
      </c>
      <c r="D19">
        <v>437.42762208000005</v>
      </c>
      <c r="F19">
        <v>1771</v>
      </c>
      <c r="G19">
        <v>2767</v>
      </c>
      <c r="I19">
        <v>24</v>
      </c>
      <c r="J19">
        <v>12</v>
      </c>
    </row>
    <row r="20" spans="1:10" ht="12.75">
      <c r="A20" t="s">
        <v>109</v>
      </c>
      <c r="B20">
        <v>0.11845056000000001</v>
      </c>
      <c r="C20">
        <v>2441</v>
      </c>
      <c r="D20">
        <v>289.13781696</v>
      </c>
      <c r="F20">
        <v>2115</v>
      </c>
      <c r="G20">
        <v>2767</v>
      </c>
      <c r="I20">
        <v>16</v>
      </c>
      <c r="J20">
        <v>8</v>
      </c>
    </row>
    <row r="21" spans="1:10" ht="12.75">
      <c r="A21" t="s">
        <v>110</v>
      </c>
      <c r="B21">
        <v>0.10703136</v>
      </c>
      <c r="C21">
        <v>2636</v>
      </c>
      <c r="D21">
        <v>282.13466496</v>
      </c>
      <c r="F21">
        <v>2505</v>
      </c>
      <c r="G21">
        <v>2767</v>
      </c>
      <c r="I21">
        <v>16</v>
      </c>
      <c r="J21">
        <v>8</v>
      </c>
    </row>
    <row r="22" spans="1:10" ht="12.75">
      <c r="A22" t="s">
        <v>111</v>
      </c>
      <c r="B22">
        <v>0.05962276</v>
      </c>
      <c r="C22">
        <v>2743.5</v>
      </c>
      <c r="D22">
        <v>163.57504206</v>
      </c>
      <c r="F22">
        <v>2720</v>
      </c>
      <c r="G22">
        <v>2767</v>
      </c>
      <c r="I22">
        <v>9</v>
      </c>
      <c r="J22">
        <v>5</v>
      </c>
    </row>
    <row r="23" spans="1:11" ht="12.75">
      <c r="A23" t="s">
        <v>116</v>
      </c>
      <c r="B23">
        <v>0.1719956</v>
      </c>
      <c r="C23">
        <v>2767</v>
      </c>
      <c r="D23">
        <v>475.9118252</v>
      </c>
      <c r="I23">
        <v>177</v>
      </c>
      <c r="J23">
        <v>89</v>
      </c>
      <c r="K23">
        <v>266</v>
      </c>
    </row>
    <row r="24" spans="1:4" ht="12.75">
      <c r="A24" t="s">
        <v>117</v>
      </c>
      <c r="B24">
        <v>0.18270476</v>
      </c>
      <c r="C24">
        <v>3048.5</v>
      </c>
      <c r="D24">
        <v>556.97546086</v>
      </c>
    </row>
    <row r="25" ht="12.75">
      <c r="B25">
        <f>SUM(B14:B24)</f>
        <v>1.8626919199999998</v>
      </c>
    </row>
    <row r="27" spans="2:4" ht="12.75">
      <c r="B27" t="s">
        <v>127</v>
      </c>
      <c r="D27" t="s">
        <v>130</v>
      </c>
    </row>
    <row r="28" spans="2:3" ht="12.75">
      <c r="B28" t="s">
        <v>128</v>
      </c>
      <c r="C28" t="s">
        <v>129</v>
      </c>
    </row>
    <row r="29" spans="1:4" ht="12.75">
      <c r="A29" t="s">
        <v>118</v>
      </c>
      <c r="B29">
        <f>$L$12+$I$12*($B$9-F14+$B$8-$B$7)/1000</f>
        <v>0.00694854</v>
      </c>
      <c r="C29">
        <f>$N$12+$I$12*($B$9-F14+$B$8-$B$7)/1000</f>
        <v>0.00952854</v>
      </c>
      <c r="D29">
        <f aca="true" t="shared" si="0" ref="D29:D37">B29*I14+C29*J14</f>
        <v>0.18740496</v>
      </c>
    </row>
    <row r="30" spans="1:4" ht="12.75">
      <c r="A30" t="s">
        <v>119</v>
      </c>
      <c r="B30">
        <f>$L$12+$I$12*($B$9-F15+$B$8-$B$7)/1000</f>
        <v>0.00684972</v>
      </c>
      <c r="C30">
        <f>$N$12+$I$12*($B$9-F15+$B$8-$B$7)/1000</f>
        <v>0.00942972</v>
      </c>
      <c r="D30">
        <f t="shared" si="0"/>
        <v>0.27754992</v>
      </c>
    </row>
    <row r="31" spans="1:4" ht="12.75">
      <c r="A31" t="s">
        <v>120</v>
      </c>
      <c r="B31">
        <f>$L$12+$I$12*($B$9-F16+$B$8-$B$7)/1000</f>
        <v>0.00665696</v>
      </c>
      <c r="C31">
        <f>$N$12+$I$12*($B$9-F16+$B$8-$B$7)/1000</f>
        <v>0.00923696</v>
      </c>
      <c r="D31">
        <f t="shared" si="0"/>
        <v>0.27061056</v>
      </c>
    </row>
    <row r="32" spans="1:4" ht="12.75">
      <c r="A32" t="s">
        <v>121</v>
      </c>
      <c r="B32">
        <f aca="true" t="shared" si="1" ref="B32:B37">$L$12+$I$12*($B$9-F17+$B$8-$B$7)/1000</f>
        <v>0.0064031999999999995</v>
      </c>
      <c r="C32">
        <f aca="true" t="shared" si="2" ref="C32:C37">$N$12+$I$12*($B$9-F17+$B$8-$B$7)/1000</f>
        <v>0.0089832</v>
      </c>
      <c r="D32">
        <f t="shared" si="0"/>
        <v>0.2614752</v>
      </c>
    </row>
    <row r="33" spans="1:4" ht="12.75">
      <c r="A33" t="s">
        <v>122</v>
      </c>
      <c r="B33">
        <f t="shared" si="1"/>
        <v>0.0062812</v>
      </c>
      <c r="C33">
        <f t="shared" si="2"/>
        <v>0.0088612</v>
      </c>
      <c r="D33">
        <f t="shared" si="0"/>
        <v>0.25708319999999996</v>
      </c>
    </row>
    <row r="34" spans="1:4" ht="12.75">
      <c r="A34" t="s">
        <v>123</v>
      </c>
      <c r="B34">
        <f t="shared" si="1"/>
        <v>0.00582858</v>
      </c>
      <c r="C34">
        <f t="shared" si="2"/>
        <v>0.00840858</v>
      </c>
      <c r="D34">
        <f t="shared" si="0"/>
        <v>0.24078888</v>
      </c>
    </row>
    <row r="35" spans="1:4" ht="12.75">
      <c r="A35" t="s">
        <v>124</v>
      </c>
      <c r="B35">
        <f t="shared" si="1"/>
        <v>0.0054088999999999995</v>
      </c>
      <c r="C35">
        <f t="shared" si="2"/>
        <v>0.0079889</v>
      </c>
      <c r="D35">
        <f t="shared" si="0"/>
        <v>0.1504536</v>
      </c>
    </row>
    <row r="36" spans="1:4" ht="12.75">
      <c r="A36" t="s">
        <v>125</v>
      </c>
      <c r="B36">
        <f t="shared" si="1"/>
        <v>0.0049331</v>
      </c>
      <c r="C36">
        <f t="shared" si="2"/>
        <v>0.007513100000000001</v>
      </c>
      <c r="D36">
        <f t="shared" si="0"/>
        <v>0.1390344</v>
      </c>
    </row>
    <row r="37" spans="1:4" ht="12.75">
      <c r="A37" t="s">
        <v>126</v>
      </c>
      <c r="B37">
        <f t="shared" si="1"/>
        <v>0.0046708</v>
      </c>
      <c r="C37">
        <f t="shared" si="2"/>
        <v>0.007250800000000001</v>
      </c>
      <c r="D37">
        <f t="shared" si="0"/>
        <v>0.0782912</v>
      </c>
    </row>
    <row r="38" ht="12.75">
      <c r="D38">
        <f>SUM(D29:D37)</f>
        <v>1.8626919200000003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6.8515625" style="0" customWidth="1"/>
    <col min="5" max="5" width="10.7109375" style="0" customWidth="1"/>
  </cols>
  <sheetData>
    <row r="1" spans="4:6" ht="25.5">
      <c r="D1" s="1" t="s">
        <v>195</v>
      </c>
      <c r="E1" s="19" t="s">
        <v>197</v>
      </c>
      <c r="F1" t="s">
        <v>196</v>
      </c>
    </row>
    <row r="2" spans="1:6" ht="12.75">
      <c r="A2" s="12" t="s">
        <v>161</v>
      </c>
      <c r="B2" s="36"/>
      <c r="C2" s="38" t="s">
        <v>162</v>
      </c>
      <c r="D2" s="13">
        <f>312.1*947.5</f>
        <v>295714.75</v>
      </c>
      <c r="E2" s="14">
        <v>12</v>
      </c>
      <c r="F2">
        <f>D2*E2</f>
        <v>3548577</v>
      </c>
    </row>
    <row r="3" spans="1:6" ht="12.75">
      <c r="A3" s="12" t="s">
        <v>163</v>
      </c>
      <c r="B3" s="37"/>
      <c r="C3" s="39"/>
      <c r="D3" s="13">
        <f>312.1*(1900-947.5-5)</f>
        <v>295714.75</v>
      </c>
      <c r="E3" s="14">
        <v>12</v>
      </c>
      <c r="F3">
        <f aca="true" t="shared" si="0" ref="F3:F15">D3*E3</f>
        <v>3548577</v>
      </c>
    </row>
    <row r="4" spans="1:6" ht="22.5">
      <c r="A4" s="12" t="s">
        <v>164</v>
      </c>
      <c r="B4" s="12" t="s">
        <v>165</v>
      </c>
      <c r="C4" s="15" t="s">
        <v>166</v>
      </c>
      <c r="D4" s="12">
        <v>202259</v>
      </c>
      <c r="E4" s="14">
        <v>2</v>
      </c>
      <c r="F4">
        <f t="shared" si="0"/>
        <v>404518</v>
      </c>
    </row>
    <row r="5" spans="1:6" ht="22.5">
      <c r="A5" s="12" t="s">
        <v>167</v>
      </c>
      <c r="B5" s="12" t="s">
        <v>168</v>
      </c>
      <c r="C5" s="15" t="s">
        <v>169</v>
      </c>
      <c r="D5" s="12">
        <v>236624</v>
      </c>
      <c r="E5" s="14">
        <v>2</v>
      </c>
      <c r="F5">
        <f t="shared" si="0"/>
        <v>473248</v>
      </c>
    </row>
    <row r="6" spans="1:6" ht="22.5">
      <c r="A6" s="12" t="s">
        <v>170</v>
      </c>
      <c r="B6" s="12" t="s">
        <v>171</v>
      </c>
      <c r="C6" s="15" t="s">
        <v>172</v>
      </c>
      <c r="D6" s="12">
        <v>83672</v>
      </c>
      <c r="E6" s="14">
        <v>4</v>
      </c>
      <c r="F6">
        <f t="shared" si="0"/>
        <v>334688</v>
      </c>
    </row>
    <row r="7" spans="1:6" ht="22.5">
      <c r="A7" s="12" t="s">
        <v>173</v>
      </c>
      <c r="B7" s="12" t="s">
        <v>165</v>
      </c>
      <c r="C7" s="15" t="s">
        <v>166</v>
      </c>
      <c r="D7" s="12">
        <v>202259</v>
      </c>
      <c r="E7" s="14">
        <v>2</v>
      </c>
      <c r="F7">
        <f t="shared" si="0"/>
        <v>404518</v>
      </c>
    </row>
    <row r="8" spans="1:6" ht="22.5">
      <c r="A8" s="12" t="s">
        <v>174</v>
      </c>
      <c r="B8" s="12" t="s">
        <v>168</v>
      </c>
      <c r="C8" s="15" t="s">
        <v>169</v>
      </c>
      <c r="D8" s="12">
        <v>236624</v>
      </c>
      <c r="E8" s="14">
        <v>2</v>
      </c>
      <c r="F8">
        <f t="shared" si="0"/>
        <v>473248</v>
      </c>
    </row>
    <row r="9" spans="1:6" ht="22.5">
      <c r="A9" s="12" t="s">
        <v>175</v>
      </c>
      <c r="B9" s="12" t="s">
        <v>176</v>
      </c>
      <c r="C9" s="15" t="s">
        <v>177</v>
      </c>
      <c r="D9" s="12">
        <v>53068</v>
      </c>
      <c r="E9" s="14">
        <v>4</v>
      </c>
      <c r="F9">
        <f t="shared" si="0"/>
        <v>212272</v>
      </c>
    </row>
    <row r="10" spans="1:6" ht="56.25">
      <c r="A10" s="12" t="s">
        <v>178</v>
      </c>
      <c r="B10" s="12" t="s">
        <v>179</v>
      </c>
      <c r="C10" s="15" t="s">
        <v>180</v>
      </c>
      <c r="D10" s="12">
        <v>31866</v>
      </c>
      <c r="E10" s="14">
        <v>8</v>
      </c>
      <c r="F10">
        <f t="shared" si="0"/>
        <v>254928</v>
      </c>
    </row>
    <row r="11" spans="1:6" ht="22.5">
      <c r="A11" s="12" t="s">
        <v>181</v>
      </c>
      <c r="B11" s="12" t="s">
        <v>182</v>
      </c>
      <c r="C11" s="15" t="s">
        <v>183</v>
      </c>
      <c r="D11" s="12">
        <v>52440</v>
      </c>
      <c r="E11" s="14">
        <v>4</v>
      </c>
      <c r="F11">
        <f t="shared" si="0"/>
        <v>209760</v>
      </c>
    </row>
    <row r="12" spans="1:6" ht="22.5">
      <c r="A12" s="12" t="s">
        <v>184</v>
      </c>
      <c r="B12" s="12" t="s">
        <v>185</v>
      </c>
      <c r="C12" s="15" t="s">
        <v>186</v>
      </c>
      <c r="D12" s="12">
        <v>52839</v>
      </c>
      <c r="E12" s="14">
        <v>4</v>
      </c>
      <c r="F12">
        <f t="shared" si="0"/>
        <v>211356</v>
      </c>
    </row>
    <row r="13" spans="1:6" ht="22.5">
      <c r="A13" s="12" t="s">
        <v>187</v>
      </c>
      <c r="B13" s="12" t="s">
        <v>188</v>
      </c>
      <c r="C13" s="15" t="s">
        <v>189</v>
      </c>
      <c r="D13" s="12">
        <v>59349</v>
      </c>
      <c r="E13" s="14">
        <v>4</v>
      </c>
      <c r="F13">
        <f t="shared" si="0"/>
        <v>237396</v>
      </c>
    </row>
    <row r="14" spans="1:6" ht="22.5">
      <c r="A14" s="12" t="s">
        <v>187</v>
      </c>
      <c r="B14" s="12" t="s">
        <v>190</v>
      </c>
      <c r="C14" s="15" t="s">
        <v>191</v>
      </c>
      <c r="D14" s="12">
        <v>33835</v>
      </c>
      <c r="E14" s="14">
        <v>2</v>
      </c>
      <c r="F14">
        <f t="shared" si="0"/>
        <v>67670</v>
      </c>
    </row>
    <row r="15" spans="1:6" ht="22.5">
      <c r="A15" s="12" t="s">
        <v>187</v>
      </c>
      <c r="B15" s="12" t="s">
        <v>192</v>
      </c>
      <c r="C15" s="15" t="s">
        <v>193</v>
      </c>
      <c r="D15" s="12">
        <v>33835</v>
      </c>
      <c r="E15" s="14">
        <v>2</v>
      </c>
      <c r="F15">
        <f t="shared" si="0"/>
        <v>67670</v>
      </c>
    </row>
    <row r="16" spans="1:6" ht="12.75">
      <c r="A16" s="16" t="s">
        <v>194</v>
      </c>
      <c r="B16" s="16"/>
      <c r="C16" s="17"/>
      <c r="D16" s="16"/>
      <c r="E16" s="18">
        <f>SUM(E2:E15)</f>
        <v>64</v>
      </c>
      <c r="F16">
        <f>SUM(F2:F15)</f>
        <v>10448426</v>
      </c>
    </row>
    <row r="17" ht="12.75">
      <c r="D17" t="s">
        <v>201</v>
      </c>
    </row>
    <row r="18" spans="1:4" ht="12.75">
      <c r="A18" t="s">
        <v>198</v>
      </c>
      <c r="B18">
        <f>SUM(F2:F3)</f>
        <v>7097154</v>
      </c>
      <c r="D18" s="20">
        <f>B18/$B$21</f>
        <v>0.679255803697131</v>
      </c>
    </row>
    <row r="19" spans="1:4" ht="12.75">
      <c r="A19" t="s">
        <v>199</v>
      </c>
      <c r="B19">
        <f>SUM(F4:F6)</f>
        <v>1212454</v>
      </c>
      <c r="D19" s="20">
        <f>B19/$B$21</f>
        <v>0.11604178466689624</v>
      </c>
    </row>
    <row r="20" spans="1:4" ht="12.75">
      <c r="A20" t="s">
        <v>200</v>
      </c>
      <c r="B20">
        <f>SUM(F7:F15)</f>
        <v>2138818</v>
      </c>
      <c r="D20" s="20">
        <f>B20/$B$21</f>
        <v>0.20470241163597272</v>
      </c>
    </row>
    <row r="21" ht="12.75">
      <c r="B21">
        <f>SUM(B18:B20)</f>
        <v>10448426</v>
      </c>
    </row>
  </sheetData>
  <sheetProtection/>
  <mergeCells count="2"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9" sqref="A19:A20"/>
    </sheetView>
  </sheetViews>
  <sheetFormatPr defaultColWidth="9.140625" defaultRowHeight="12.75"/>
  <cols>
    <col min="1" max="1" width="27.28125" style="0" customWidth="1"/>
  </cols>
  <sheetData>
    <row r="1" spans="1:4" ht="12.75">
      <c r="A1" t="s">
        <v>146</v>
      </c>
      <c r="B1">
        <f>PI()*POWER(0.8/2,2)</f>
        <v>0.5026548245743669</v>
      </c>
      <c r="D1" t="s">
        <v>153</v>
      </c>
    </row>
    <row r="2" spans="1:2" ht="12.75">
      <c r="A2" s="7" t="s">
        <v>147</v>
      </c>
      <c r="B2" s="4">
        <v>1.56</v>
      </c>
    </row>
    <row r="3" spans="1:2" ht="12.75">
      <c r="A3" t="s">
        <v>148</v>
      </c>
      <c r="B3">
        <v>0.83</v>
      </c>
    </row>
    <row r="7" spans="3:6" ht="12.75">
      <c r="C7" t="s">
        <v>55</v>
      </c>
      <c r="D7" t="s">
        <v>56</v>
      </c>
      <c r="F7" t="s">
        <v>149</v>
      </c>
    </row>
    <row r="8" spans="1:6" ht="12.75">
      <c r="A8" t="s">
        <v>137</v>
      </c>
      <c r="C8">
        <v>853</v>
      </c>
      <c r="D8">
        <v>2767</v>
      </c>
      <c r="F8" s="2">
        <f>4*(D8-C8)/10*$B$1*(1-$B$3)*$B$2</f>
        <v>102.05758793568471</v>
      </c>
    </row>
    <row r="9" spans="1:6" ht="12.75">
      <c r="A9" t="s">
        <v>138</v>
      </c>
      <c r="C9">
        <v>934</v>
      </c>
      <c r="D9">
        <v>2767</v>
      </c>
      <c r="F9" s="2">
        <f aca="true" t="shared" si="0" ref="F9:F16">4*(D9-C9)/10*$B$1*(1-$B$3)*$B$2</f>
        <v>97.73853640862596</v>
      </c>
    </row>
    <row r="10" spans="1:6" ht="12.75">
      <c r="A10" t="s">
        <v>139</v>
      </c>
      <c r="C10">
        <v>1092</v>
      </c>
      <c r="D10">
        <v>2767</v>
      </c>
      <c r="F10" s="2">
        <f t="shared" si="0"/>
        <v>89.31371984967184</v>
      </c>
    </row>
    <row r="11" spans="1:6" ht="12.75">
      <c r="A11" t="s">
        <v>140</v>
      </c>
      <c r="C11">
        <v>1300</v>
      </c>
      <c r="D11">
        <v>2767</v>
      </c>
      <c r="F11" s="2">
        <f t="shared" si="0"/>
        <v>78.22282210117528</v>
      </c>
    </row>
    <row r="12" spans="1:6" ht="12.75">
      <c r="A12" t="s">
        <v>141</v>
      </c>
      <c r="C12">
        <v>1400</v>
      </c>
      <c r="D12">
        <v>2767</v>
      </c>
      <c r="F12" s="2">
        <f t="shared" si="0"/>
        <v>72.89065972209039</v>
      </c>
    </row>
    <row r="13" spans="1:6" ht="12.75">
      <c r="A13" t="s">
        <v>142</v>
      </c>
      <c r="C13">
        <v>1771</v>
      </c>
      <c r="D13">
        <v>2767</v>
      </c>
      <c r="F13" s="2">
        <f t="shared" si="0"/>
        <v>53.10833729568546</v>
      </c>
    </row>
    <row r="14" spans="1:6" ht="12.75">
      <c r="A14" t="s">
        <v>143</v>
      </c>
      <c r="C14">
        <v>2115</v>
      </c>
      <c r="D14">
        <v>2767</v>
      </c>
      <c r="F14" s="2">
        <f t="shared" si="0"/>
        <v>34.765698711633455</v>
      </c>
    </row>
    <row r="15" spans="1:6" ht="12.75">
      <c r="A15" t="s">
        <v>144</v>
      </c>
      <c r="C15">
        <v>2505</v>
      </c>
      <c r="D15">
        <v>2767</v>
      </c>
      <c r="F15" s="2">
        <f t="shared" si="0"/>
        <v>13.970265433202401</v>
      </c>
    </row>
    <row r="16" spans="1:6" ht="12.75">
      <c r="A16" t="s">
        <v>145</v>
      </c>
      <c r="C16">
        <v>2720</v>
      </c>
      <c r="D16">
        <v>2767</v>
      </c>
      <c r="F16" s="2">
        <f t="shared" si="0"/>
        <v>2.5061163181698967</v>
      </c>
    </row>
    <row r="17" ht="12.75">
      <c r="F17" s="2">
        <f>SUM(F8:F16)</f>
        <v>544.5737437759394</v>
      </c>
    </row>
    <row r="19" ht="12.75">
      <c r="A19" s="23" t="s">
        <v>288</v>
      </c>
    </row>
    <row r="20" ht="12.75">
      <c r="A20" s="23" t="s">
        <v>289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27.28125" style="0" customWidth="1"/>
  </cols>
  <sheetData>
    <row r="1" ht="12.75">
      <c r="A1" t="s">
        <v>245</v>
      </c>
    </row>
    <row r="2" spans="1:3" ht="12.75">
      <c r="A2" t="s">
        <v>291</v>
      </c>
      <c r="C2" t="s">
        <v>292</v>
      </c>
    </row>
    <row r="3" spans="1:3" ht="12.75">
      <c r="A3" t="s">
        <v>287</v>
      </c>
      <c r="C3" t="s">
        <v>290</v>
      </c>
    </row>
    <row r="4" ht="12.75">
      <c r="A4" s="23" t="s">
        <v>286</v>
      </c>
    </row>
    <row r="6" ht="12.75">
      <c r="A6" s="6" t="s">
        <v>263</v>
      </c>
    </row>
    <row r="7" ht="12.75">
      <c r="A7" s="6"/>
    </row>
    <row r="8" spans="2:14" ht="12.75">
      <c r="B8" s="6" t="s">
        <v>281</v>
      </c>
      <c r="N8" s="6" t="s">
        <v>285</v>
      </c>
    </row>
    <row r="10" spans="1:14" ht="12.75">
      <c r="A10" t="s">
        <v>217</v>
      </c>
      <c r="B10" s="3">
        <v>32.8</v>
      </c>
      <c r="D10" s="31"/>
      <c r="E10" s="31"/>
      <c r="F10" s="31"/>
      <c r="G10" s="31"/>
      <c r="H10" s="31"/>
      <c r="I10" s="31"/>
      <c r="J10" s="31"/>
      <c r="K10" s="31"/>
      <c r="L10" s="31"/>
      <c r="N10" s="3">
        <f>B10</f>
        <v>32.8</v>
      </c>
    </row>
    <row r="11" spans="1:2" ht="12.75">
      <c r="A11" s="7"/>
      <c r="B11" s="9"/>
    </row>
    <row r="12" spans="1:14" ht="12.75">
      <c r="A12" t="s">
        <v>214</v>
      </c>
      <c r="B12" s="3">
        <f>SUM(Estimate!B28:B36)</f>
        <v>23.6732</v>
      </c>
      <c r="N12" s="3">
        <f>SUM(B10:B12)</f>
        <v>56.4732</v>
      </c>
    </row>
    <row r="13" ht="12.75">
      <c r="B13" s="3"/>
    </row>
    <row r="14" spans="1:14" ht="12.75">
      <c r="A14" t="s">
        <v>228</v>
      </c>
      <c r="B14" s="3">
        <f>57415.1296281088/1000</f>
        <v>57.4151296281088</v>
      </c>
      <c r="D14" t="s">
        <v>243</v>
      </c>
      <c r="F14">
        <f>Estimate!B39+Estimate!B42+Estimate!B49+SUM(Estimate!B54:B62)+Estimate!B65+SUM(Estimate!B69:B77)+Estimate!B80+Estimate!B83+SUM(Estimate!B87:B95)+Estimate!B99+Estimate!B102+Estimate!B105</f>
        <v>49.383395255813234</v>
      </c>
      <c r="H14" t="s">
        <v>247</v>
      </c>
      <c r="N14" s="3">
        <f>SUM(B10:B14)</f>
        <v>113.8883296281088</v>
      </c>
    </row>
    <row r="15" ht="12.75">
      <c r="B15" s="3"/>
    </row>
    <row r="16" spans="1:14" ht="12.75">
      <c r="A16" t="s">
        <v>229</v>
      </c>
      <c r="B16" s="3">
        <v>22.8</v>
      </c>
      <c r="D16" t="s">
        <v>243</v>
      </c>
      <c r="F16">
        <f>SUM(Estimate!B43:B47)+Estimate!B100+Estimate!B101+Estimate!B103+Estimate!B104</f>
        <v>16.77804180370819</v>
      </c>
      <c r="H16" t="s">
        <v>246</v>
      </c>
      <c r="N16" s="3">
        <f>SUM(B10:B16)</f>
        <v>136.68832962810882</v>
      </c>
    </row>
    <row r="17" spans="2:6" ht="12.75">
      <c r="B17" s="3"/>
      <c r="F17" s="2"/>
    </row>
    <row r="18" spans="1:14" ht="12.75">
      <c r="A18" t="s">
        <v>232</v>
      </c>
      <c r="B18" s="3">
        <v>41.21</v>
      </c>
      <c r="D18" t="s">
        <v>230</v>
      </c>
      <c r="F18" s="2"/>
      <c r="H18" t="s">
        <v>250</v>
      </c>
      <c r="N18" s="3">
        <f>SUM(B10:B18)</f>
        <v>177.89832962810883</v>
      </c>
    </row>
    <row r="19" spans="2:6" ht="12.75">
      <c r="B19" s="3"/>
      <c r="F19" s="2"/>
    </row>
    <row r="20" spans="1:14" ht="12.75">
      <c r="A20" t="s">
        <v>231</v>
      </c>
      <c r="B20" s="3">
        <f>46.82</f>
        <v>46.82</v>
      </c>
      <c r="D20" t="s">
        <v>252</v>
      </c>
      <c r="F20" s="2"/>
      <c r="H20" t="s">
        <v>265</v>
      </c>
      <c r="N20" s="3"/>
    </row>
    <row r="21" ht="12.75">
      <c r="F21" s="2"/>
    </row>
    <row r="22" spans="1:6" ht="12.75">
      <c r="A22" s="1" t="s">
        <v>234</v>
      </c>
      <c r="B22" s="3">
        <f>SUM(B10:B20)</f>
        <v>224.71832962810882</v>
      </c>
      <c r="F22" s="2"/>
    </row>
    <row r="23" spans="2:6" ht="12.75">
      <c r="B23" s="3"/>
      <c r="F23" s="2"/>
    </row>
    <row r="24" spans="1:6" ht="12.75">
      <c r="A24" t="s">
        <v>66</v>
      </c>
      <c r="B24" s="3">
        <v>33.2</v>
      </c>
      <c r="D24" t="s">
        <v>233</v>
      </c>
      <c r="F24" s="2"/>
    </row>
    <row r="25" ht="12.75">
      <c r="F25" s="2"/>
    </row>
    <row r="26" spans="1:10" ht="12.75">
      <c r="A26" s="1" t="s">
        <v>71</v>
      </c>
      <c r="B26" s="3">
        <f>SUM(B22:B24)</f>
        <v>257.91832962810884</v>
      </c>
      <c r="D26" s="1" t="s">
        <v>268</v>
      </c>
      <c r="F26" s="2"/>
      <c r="H26" t="s">
        <v>284</v>
      </c>
      <c r="J26" s="3">
        <f>SUM(B10:B18)</f>
        <v>177.89832962810883</v>
      </c>
    </row>
    <row r="27" spans="2:6" ht="12.75">
      <c r="B27" s="3"/>
      <c r="F27" s="2"/>
    </row>
    <row r="28" ht="12.75">
      <c r="F28" s="2"/>
    </row>
    <row r="29" spans="1:4" ht="12.75">
      <c r="A29" t="s">
        <v>282</v>
      </c>
      <c r="D29" t="s">
        <v>264</v>
      </c>
    </row>
    <row r="31" spans="1:2" ht="12.75">
      <c r="A31" t="s">
        <v>239</v>
      </c>
      <c r="B31" s="3">
        <f>-B24</f>
        <v>-33.2</v>
      </c>
    </row>
    <row r="32" spans="1:2" ht="12.75">
      <c r="A32" t="s">
        <v>240</v>
      </c>
      <c r="B32">
        <v>6.8</v>
      </c>
    </row>
    <row r="33" spans="1:2" ht="12.75">
      <c r="A33" t="s">
        <v>242</v>
      </c>
      <c r="B33">
        <v>-4.5</v>
      </c>
    </row>
    <row r="35" spans="1:2" ht="12.75">
      <c r="A35" t="s">
        <v>244</v>
      </c>
      <c r="B35" s="3">
        <f>B26+SUM(B31:B33)</f>
        <v>227.01832962810883</v>
      </c>
    </row>
    <row r="36" spans="1:2" ht="12.75">
      <c r="A36" t="s">
        <v>283</v>
      </c>
      <c r="B36" s="2">
        <f>Estimate!B132</f>
        <v>198.22609766819056</v>
      </c>
    </row>
    <row r="38" ht="12.75">
      <c r="A38" t="s">
        <v>248</v>
      </c>
    </row>
    <row r="39" ht="12.75">
      <c r="A39" t="s">
        <v>249</v>
      </c>
    </row>
    <row r="40" ht="12.75">
      <c r="A40" t="s">
        <v>251</v>
      </c>
    </row>
    <row r="41" ht="12.75">
      <c r="A41" t="s">
        <v>266</v>
      </c>
    </row>
    <row r="42" ht="12.75">
      <c r="A42" t="s">
        <v>259</v>
      </c>
    </row>
    <row r="43" ht="12.75">
      <c r="A43" t="s">
        <v>260</v>
      </c>
    </row>
    <row r="46" ht="12.75">
      <c r="A46" s="6" t="s">
        <v>253</v>
      </c>
    </row>
    <row r="48" spans="1:2" ht="12.75">
      <c r="A48" t="s">
        <v>217</v>
      </c>
      <c r="B48" s="3">
        <f>B10</f>
        <v>32.8</v>
      </c>
    </row>
    <row r="49" ht="12.75">
      <c r="B49" s="3"/>
    </row>
    <row r="50" spans="1:2" ht="12.75">
      <c r="A50" t="s">
        <v>214</v>
      </c>
      <c r="B50" s="3">
        <f>B12</f>
        <v>23.6732</v>
      </c>
    </row>
    <row r="51" ht="12.75">
      <c r="B51" s="3"/>
    </row>
    <row r="52" spans="1:2" ht="12.75">
      <c r="A52" t="s">
        <v>228</v>
      </c>
      <c r="B52" s="3">
        <f>B14</f>
        <v>57.4151296281088</v>
      </c>
    </row>
    <row r="53" ht="12.75">
      <c r="B53" s="3"/>
    </row>
    <row r="54" spans="1:2" ht="12.75">
      <c r="A54" t="s">
        <v>229</v>
      </c>
      <c r="B54" s="3">
        <f>B16</f>
        <v>22.8</v>
      </c>
    </row>
    <row r="56" spans="1:8" ht="12.75">
      <c r="A56" t="s">
        <v>232</v>
      </c>
      <c r="B56">
        <v>22.66</v>
      </c>
      <c r="H56" t="s">
        <v>269</v>
      </c>
    </row>
    <row r="58" spans="1:8" ht="12.75">
      <c r="A58" t="s">
        <v>231</v>
      </c>
      <c r="B58">
        <v>10.47</v>
      </c>
      <c r="H58" t="s">
        <v>270</v>
      </c>
    </row>
    <row r="60" spans="1:8" ht="12.75">
      <c r="A60" t="s">
        <v>66</v>
      </c>
      <c r="B60">
        <v>7.6</v>
      </c>
      <c r="H60" t="s">
        <v>256</v>
      </c>
    </row>
    <row r="62" spans="1:5" ht="12.75">
      <c r="A62" t="s">
        <v>254</v>
      </c>
      <c r="B62">
        <v>0</v>
      </c>
      <c r="D62" s="27" t="s">
        <v>255</v>
      </c>
      <c r="E62" s="27"/>
    </row>
    <row r="63" spans="4:5" ht="12.75">
      <c r="D63" s="4"/>
      <c r="E63" s="4"/>
    </row>
    <row r="64" spans="1:5" ht="12.75">
      <c r="A64" t="s">
        <v>257</v>
      </c>
      <c r="B64">
        <v>-1.66</v>
      </c>
      <c r="D64" s="4" t="s">
        <v>258</v>
      </c>
      <c r="E64" s="4"/>
    </row>
    <row r="65" spans="4:5" ht="12.75">
      <c r="D65" s="4"/>
      <c r="E65" s="4"/>
    </row>
    <row r="66" spans="1:5" ht="12.75">
      <c r="A66" t="s">
        <v>267</v>
      </c>
      <c r="B66">
        <f>-0.61-1.13</f>
        <v>-1.7399999999999998</v>
      </c>
      <c r="D66" s="4"/>
      <c r="E66" s="4"/>
    </row>
    <row r="68" spans="1:8" ht="12.75">
      <c r="A68" s="1" t="s">
        <v>71</v>
      </c>
      <c r="B68" s="35">
        <f>SUM(B48:B66)</f>
        <v>174.0183296281088</v>
      </c>
      <c r="D68" s="1" t="s">
        <v>272</v>
      </c>
      <c r="H68" t="s">
        <v>279</v>
      </c>
    </row>
    <row r="69" spans="1:2" ht="12.75">
      <c r="A69" t="s">
        <v>271</v>
      </c>
      <c r="B69" s="3">
        <f>B68-B58-B60</f>
        <v>155.9483296281088</v>
      </c>
    </row>
    <row r="72" ht="12.75">
      <c r="A72" s="6" t="s">
        <v>273</v>
      </c>
    </row>
    <row r="74" spans="1:4" ht="12.75">
      <c r="A74" t="s">
        <v>274</v>
      </c>
      <c r="B74">
        <v>213</v>
      </c>
      <c r="D74" t="s">
        <v>275</v>
      </c>
    </row>
    <row r="75" spans="1:4" ht="12.75">
      <c r="A75" t="s">
        <v>277</v>
      </c>
      <c r="B75">
        <v>-37</v>
      </c>
      <c r="D75" t="s">
        <v>276</v>
      </c>
    </row>
    <row r="76" spans="1:4" ht="12.75">
      <c r="A76" t="s">
        <v>278</v>
      </c>
      <c r="B76">
        <v>-3.5</v>
      </c>
      <c r="D76" t="s">
        <v>276</v>
      </c>
    </row>
    <row r="77" spans="2:8" ht="12.75">
      <c r="B77" s="34">
        <f>SUM(B74:B76)</f>
        <v>172.5</v>
      </c>
      <c r="H77" t="s">
        <v>280</v>
      </c>
    </row>
    <row r="80" ht="12.75">
      <c r="A80" s="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Haywood</cp:lastModifiedBy>
  <cp:lastPrinted>2008-03-17T09:18:06Z</cp:lastPrinted>
  <dcterms:created xsi:type="dcterms:W3CDTF">1996-10-14T23:33:28Z</dcterms:created>
  <dcterms:modified xsi:type="dcterms:W3CDTF">2009-05-11T15:50:17Z</dcterms:modified>
  <cp:category/>
  <cp:version/>
  <cp:contentType/>
  <cp:contentStatus/>
</cp:coreProperties>
</file>