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15945" windowHeight="10095" activeTab="0"/>
  </bookViews>
  <sheets>
    <sheet name="Summary" sheetId="1" r:id="rId1"/>
    <sheet name="Weights" sheetId="2" r:id="rId2"/>
  </sheets>
  <definedNames/>
  <calcPr fullCalcOnLoad="1"/>
</workbook>
</file>

<file path=xl/sharedStrings.xml><?xml version="1.0" encoding="utf-8"?>
<sst xmlns="http://schemas.openxmlformats.org/spreadsheetml/2006/main" count="100" uniqueCount="71">
  <si>
    <t>Part name</t>
  </si>
  <si>
    <t>Material</t>
  </si>
  <si>
    <t>Area1</t>
  </si>
  <si>
    <t>Volume</t>
  </si>
  <si>
    <t>Density</t>
  </si>
  <si>
    <t>g/cc</t>
  </si>
  <si>
    <t>mm</t>
  </si>
  <si>
    <t>mm^2</t>
  </si>
  <si>
    <t>mm^3</t>
  </si>
  <si>
    <t>Mass</t>
  </si>
  <si>
    <t>g</t>
  </si>
  <si>
    <t>X0</t>
  </si>
  <si>
    <t>%</t>
  </si>
  <si>
    <t>Silicon</t>
  </si>
  <si>
    <t>TPG spine</t>
  </si>
  <si>
    <t>TPG</t>
  </si>
  <si>
    <t>Area2</t>
  </si>
  <si>
    <t>Far wings</t>
  </si>
  <si>
    <t>AlN</t>
  </si>
  <si>
    <t>Near wings</t>
  </si>
  <si>
    <t>Far plate</t>
  </si>
  <si>
    <t>Near plate</t>
  </si>
  <si>
    <t>Spacers</t>
  </si>
  <si>
    <t>Spine glue</t>
  </si>
  <si>
    <t>Elastosil</t>
  </si>
  <si>
    <t>Spacer glue</t>
  </si>
  <si>
    <t>Araldite 2011</t>
  </si>
  <si>
    <t xml:space="preserve">Far washer </t>
  </si>
  <si>
    <t>Far precision hole</t>
  </si>
  <si>
    <t>Aluminium</t>
  </si>
  <si>
    <t>Main washer</t>
  </si>
  <si>
    <t>Main precision hole</t>
  </si>
  <si>
    <t>Fan-in glue</t>
  </si>
  <si>
    <t>Module Total</t>
  </si>
  <si>
    <t>Glass</t>
  </si>
  <si>
    <t>Detector glue</t>
  </si>
  <si>
    <t>Far washer glue</t>
  </si>
  <si>
    <t>Main washer glue</t>
  </si>
  <si>
    <t>No. off</t>
  </si>
  <si>
    <t>Thk1</t>
  </si>
  <si>
    <t>Thk2</t>
  </si>
  <si>
    <t>Fan-ins</t>
  </si>
  <si>
    <t>Detector area</t>
  </si>
  <si>
    <t>Measured</t>
  </si>
  <si>
    <t>Spine-washer glue</t>
  </si>
  <si>
    <t>FR4</t>
  </si>
  <si>
    <t>Detectors</t>
  </si>
  <si>
    <t>Far washer</t>
  </si>
  <si>
    <t>Bare spine</t>
  </si>
  <si>
    <t>Spine with washer</t>
  </si>
  <si>
    <t>Washer glue</t>
  </si>
  <si>
    <t>Hybrid</t>
  </si>
  <si>
    <t>Assembly glue</t>
  </si>
  <si>
    <t>Measured module</t>
  </si>
  <si>
    <t>Ser No</t>
  </si>
  <si>
    <t>Weight</t>
  </si>
  <si>
    <t>Mean</t>
  </si>
  <si>
    <t>Stdev</t>
  </si>
  <si>
    <t>Best Est</t>
  </si>
  <si>
    <t>Uncertainty</t>
  </si>
  <si>
    <t>Bond wire (1.6m x 25 um)</t>
  </si>
  <si>
    <t>with washers</t>
  </si>
  <si>
    <t>Fan-in Out-L</t>
  </si>
  <si>
    <t>Fan-in Out-R</t>
  </si>
  <si>
    <t>K5-inner</t>
  </si>
  <si>
    <t>W12 detectors</t>
  </si>
  <si>
    <t>Inner spines</t>
  </si>
  <si>
    <t>NIKHEF Modules</t>
  </si>
  <si>
    <t>Manchester Modules</t>
  </si>
  <si>
    <t>they are mechanicals, but should be identical weight to real detectors</t>
  </si>
  <si>
    <t>Combined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</si>
</sst>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164" fontId="0" fillId="0" borderId="0" xfId="0" applyNumberFormat="1" applyAlignment="1">
      <alignment/>
    </xf>
    <xf numFmtId="164" fontId="0" fillId="4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1" fillId="3" borderId="0" xfId="0" applyNumberFormat="1" applyFont="1" applyFill="1" applyAlignment="1">
      <alignment/>
    </xf>
    <xf numFmtId="16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zoomScale="75" zoomScaleNormal="75" workbookViewId="0" topLeftCell="A1">
      <selection activeCell="R5" sqref="R5"/>
    </sheetView>
  </sheetViews>
  <sheetFormatPr defaultColWidth="9.140625" defaultRowHeight="12.75"/>
  <cols>
    <col min="1" max="1" width="17.28125" style="0" customWidth="1"/>
    <col min="2" max="2" width="11.8515625" style="0" customWidth="1"/>
    <col min="3" max="3" width="7.8515625" style="0" customWidth="1"/>
    <col min="4" max="4" width="5.8515625" style="0" customWidth="1"/>
    <col min="5" max="5" width="6.8515625" style="0" customWidth="1"/>
    <col min="6" max="6" width="8.00390625" style="0" customWidth="1"/>
    <col min="7" max="7" width="6.421875" style="0" customWidth="1"/>
    <col min="8" max="8" width="7.140625" style="0" customWidth="1"/>
    <col min="9" max="9" width="5.7109375" style="0" customWidth="1"/>
    <col min="10" max="10" width="7.8515625" style="0" customWidth="1"/>
    <col min="11" max="11" width="7.28125" style="0" customWidth="1"/>
    <col min="12" max="12" width="7.57421875" style="0" customWidth="1"/>
  </cols>
  <sheetData>
    <row r="1" spans="1:3" ht="12.75">
      <c r="A1" t="s">
        <v>64</v>
      </c>
      <c r="B1" t="s">
        <v>42</v>
      </c>
      <c r="C1">
        <f>F6</f>
        <v>3090.33819</v>
      </c>
    </row>
    <row r="2" spans="13:14" ht="12.75">
      <c r="M2" s="4" t="s">
        <v>43</v>
      </c>
      <c r="N2" t="s">
        <v>59</v>
      </c>
    </row>
    <row r="3" spans="1:13" ht="12.75">
      <c r="A3" t="s">
        <v>0</v>
      </c>
      <c r="B3" t="s">
        <v>1</v>
      </c>
      <c r="C3" t="s">
        <v>4</v>
      </c>
      <c r="D3" t="s">
        <v>11</v>
      </c>
      <c r="E3" t="s">
        <v>38</v>
      </c>
      <c r="F3" t="s">
        <v>2</v>
      </c>
      <c r="G3" t="s">
        <v>39</v>
      </c>
      <c r="H3" t="s">
        <v>16</v>
      </c>
      <c r="I3" t="s">
        <v>40</v>
      </c>
      <c r="J3" t="s">
        <v>3</v>
      </c>
      <c r="K3" t="s">
        <v>9</v>
      </c>
      <c r="L3" t="s">
        <v>11</v>
      </c>
      <c r="M3" s="4" t="s">
        <v>9</v>
      </c>
    </row>
    <row r="4" spans="3:13" ht="12.75">
      <c r="C4" t="s">
        <v>5</v>
      </c>
      <c r="D4" t="s">
        <v>6</v>
      </c>
      <c r="F4" t="s">
        <v>7</v>
      </c>
      <c r="G4" t="s">
        <v>6</v>
      </c>
      <c r="H4" t="s">
        <v>7</v>
      </c>
      <c r="I4" t="s">
        <v>6</v>
      </c>
      <c r="J4" t="s">
        <v>8</v>
      </c>
      <c r="K4" t="s">
        <v>10</v>
      </c>
      <c r="L4" t="s">
        <v>12</v>
      </c>
      <c r="M4" t="s">
        <v>10</v>
      </c>
    </row>
    <row r="6" spans="1:12" ht="12.75">
      <c r="A6" t="s">
        <v>65</v>
      </c>
      <c r="B6" t="s">
        <v>13</v>
      </c>
      <c r="C6">
        <v>2.34</v>
      </c>
      <c r="D6">
        <v>93.6</v>
      </c>
      <c r="E6">
        <v>2</v>
      </c>
      <c r="F6">
        <f>61.06*(45.735+55.488)/2</f>
        <v>3090.33819</v>
      </c>
      <c r="G6">
        <v>0.285</v>
      </c>
      <c r="J6">
        <f>(F6*G6+H6*I6)*E6</f>
        <v>1761.4927682999999</v>
      </c>
      <c r="K6">
        <f>J6*C6*0.001</f>
        <v>4.1218930778219995</v>
      </c>
      <c r="L6">
        <f>100*J6/(D6*$C$1)</f>
        <v>0.6089743589743589</v>
      </c>
    </row>
    <row r="7" spans="1:14" ht="12.75">
      <c r="A7" s="1" t="s">
        <v>46</v>
      </c>
      <c r="K7" s="1">
        <f>K6</f>
        <v>4.1218930778219995</v>
      </c>
      <c r="L7" s="1">
        <f>L6</f>
        <v>0.6089743589743589</v>
      </c>
      <c r="M7" s="10">
        <v>4.122</v>
      </c>
      <c r="N7" s="7">
        <v>0.01</v>
      </c>
    </row>
    <row r="8" spans="1:14" ht="12.75">
      <c r="A8" t="s">
        <v>14</v>
      </c>
      <c r="B8" t="s">
        <v>15</v>
      </c>
      <c r="C8">
        <v>2.08</v>
      </c>
      <c r="D8">
        <v>205</v>
      </c>
      <c r="E8">
        <v>1</v>
      </c>
      <c r="F8">
        <f>(76.72-(13.975+13))*23</f>
        <v>1144.135</v>
      </c>
      <c r="G8">
        <v>0.5</v>
      </c>
      <c r="H8">
        <f>23*(13.975+13)-(6*6+1.5*1.5+12*4.5)</f>
        <v>528.1750000000001</v>
      </c>
      <c r="I8">
        <v>0.225</v>
      </c>
      <c r="J8">
        <f aca="true" t="shared" si="0" ref="J8:J15">(F8*G8+H8*I8)*E8</f>
        <v>690.906875</v>
      </c>
      <c r="K8">
        <f aca="true" t="shared" si="1" ref="K8:K15">J8*C8*0.001</f>
        <v>1.4370863000000003</v>
      </c>
      <c r="L8">
        <f aca="true" t="shared" si="2" ref="L8:L15">100*J8/(D8*$C$1)</f>
        <v>0.1090585311966905</v>
      </c>
      <c r="M8" s="7"/>
      <c r="N8" s="7"/>
    </row>
    <row r="9" spans="1:14" ht="12.75">
      <c r="A9" t="s">
        <v>17</v>
      </c>
      <c r="B9" t="s">
        <v>18</v>
      </c>
      <c r="C9">
        <v>3.25</v>
      </c>
      <c r="D9">
        <v>84</v>
      </c>
      <c r="E9">
        <v>2</v>
      </c>
      <c r="F9">
        <f>6.75*(17.5-3.25-6.75/2)+PI()*6.75*6.75/8</f>
        <v>91.29860190989811</v>
      </c>
      <c r="G9">
        <v>0.5</v>
      </c>
      <c r="H9">
        <f>3.25*6.75</f>
        <v>21.9375</v>
      </c>
      <c r="I9">
        <v>0.275</v>
      </c>
      <c r="J9">
        <f t="shared" si="0"/>
        <v>103.36422690989811</v>
      </c>
      <c r="K9">
        <f t="shared" si="1"/>
        <v>0.3359337374571688</v>
      </c>
      <c r="L9">
        <f t="shared" si="2"/>
        <v>0.03981850642800103</v>
      </c>
      <c r="M9" s="7"/>
      <c r="N9" s="7"/>
    </row>
    <row r="10" spans="1:14" ht="12.75">
      <c r="A10" t="s">
        <v>19</v>
      </c>
      <c r="B10" t="s">
        <v>18</v>
      </c>
      <c r="C10">
        <v>3.25</v>
      </c>
      <c r="D10">
        <v>84</v>
      </c>
      <c r="E10">
        <v>2</v>
      </c>
      <c r="F10">
        <f>6.75*(31.875-3.25-6.75/2)+PI()*6.75*6.75/8</f>
        <v>188.3298519098981</v>
      </c>
      <c r="G10">
        <v>0.5</v>
      </c>
      <c r="H10">
        <f>3.25*6.75</f>
        <v>21.9375</v>
      </c>
      <c r="I10">
        <v>0.275</v>
      </c>
      <c r="J10">
        <f t="shared" si="0"/>
        <v>200.39547690989812</v>
      </c>
      <c r="K10">
        <f t="shared" si="1"/>
        <v>0.651285299957169</v>
      </c>
      <c r="L10">
        <f t="shared" si="2"/>
        <v>0.07719739047083224</v>
      </c>
      <c r="M10" s="7"/>
      <c r="N10" s="7"/>
    </row>
    <row r="11" spans="1:21" ht="12.75">
      <c r="A11" t="s">
        <v>20</v>
      </c>
      <c r="B11" t="s">
        <v>18</v>
      </c>
      <c r="C11">
        <v>3.25</v>
      </c>
      <c r="D11">
        <v>84</v>
      </c>
      <c r="E11">
        <v>1</v>
      </c>
      <c r="F11">
        <f>29*12.25-(4.5*4.5+PI()*2.2*2.2/4+2.2*0.5)</f>
        <v>330.0986728891563</v>
      </c>
      <c r="G11">
        <v>0.225</v>
      </c>
      <c r="J11">
        <f t="shared" si="0"/>
        <v>74.27220140006017</v>
      </c>
      <c r="K11">
        <f t="shared" si="1"/>
        <v>0.24138465455019553</v>
      </c>
      <c r="L11">
        <f t="shared" si="2"/>
        <v>0.028611524676211576</v>
      </c>
      <c r="M11" s="7"/>
      <c r="N11" s="7"/>
      <c r="U11" s="3"/>
    </row>
    <row r="12" spans="1:14" ht="12.75">
      <c r="A12" t="s">
        <v>21</v>
      </c>
      <c r="B12" t="s">
        <v>18</v>
      </c>
      <c r="C12">
        <v>3.25</v>
      </c>
      <c r="D12">
        <v>84</v>
      </c>
      <c r="E12">
        <v>1</v>
      </c>
      <c r="F12">
        <f>29*6.75+7.675*(11+7.675)+1.417*2*(10.535-7.675)</f>
        <v>347.185865</v>
      </c>
      <c r="G12">
        <v>0.225</v>
      </c>
      <c r="J12">
        <f t="shared" si="0"/>
        <v>78.11681962499999</v>
      </c>
      <c r="K12">
        <f t="shared" si="1"/>
        <v>0.25387966378125</v>
      </c>
      <c r="L12">
        <f t="shared" si="2"/>
        <v>0.030092568554539238</v>
      </c>
      <c r="M12" s="7"/>
      <c r="N12" s="7"/>
    </row>
    <row r="13" spans="1:14" ht="12.75">
      <c r="A13" t="s">
        <v>23</v>
      </c>
      <c r="B13" t="s">
        <v>24</v>
      </c>
      <c r="C13">
        <v>1.2</v>
      </c>
      <c r="D13">
        <v>335</v>
      </c>
      <c r="E13">
        <v>1</v>
      </c>
      <c r="F13">
        <f>H8</f>
        <v>528.1750000000001</v>
      </c>
      <c r="G13">
        <v>0.05</v>
      </c>
      <c r="J13">
        <f t="shared" si="0"/>
        <v>26.408750000000005</v>
      </c>
      <c r="K13">
        <f t="shared" si="1"/>
        <v>0.0316905</v>
      </c>
      <c r="L13">
        <f t="shared" si="2"/>
        <v>0.002550921119485593</v>
      </c>
      <c r="M13" s="7"/>
      <c r="N13" s="7"/>
    </row>
    <row r="14" spans="1:14" ht="12.75">
      <c r="A14" t="s">
        <v>22</v>
      </c>
      <c r="B14" t="s">
        <v>18</v>
      </c>
      <c r="C14">
        <v>3.25</v>
      </c>
      <c r="D14">
        <v>84</v>
      </c>
      <c r="E14">
        <v>2</v>
      </c>
      <c r="F14">
        <f>76*(2.07+3.59)/2-1.482*(4.68+6.11)</f>
        <v>199.08922</v>
      </c>
      <c r="G14">
        <v>0.325</v>
      </c>
      <c r="J14">
        <f t="shared" si="0"/>
        <v>129.407993</v>
      </c>
      <c r="K14">
        <f t="shared" si="1"/>
        <v>0.42057597725</v>
      </c>
      <c r="L14">
        <f t="shared" si="2"/>
        <v>0.04985122179259272</v>
      </c>
      <c r="M14" s="7"/>
      <c r="N14" s="7"/>
    </row>
    <row r="15" spans="1:14" ht="12.75">
      <c r="A15" t="s">
        <v>25</v>
      </c>
      <c r="B15" t="s">
        <v>26</v>
      </c>
      <c r="C15">
        <v>1.2</v>
      </c>
      <c r="D15">
        <v>335</v>
      </c>
      <c r="E15">
        <v>2</v>
      </c>
      <c r="F15">
        <f>F14</f>
        <v>199.08922</v>
      </c>
      <c r="G15">
        <v>0.1</v>
      </c>
      <c r="J15">
        <f t="shared" si="0"/>
        <v>39.81784400000001</v>
      </c>
      <c r="K15">
        <f t="shared" si="1"/>
        <v>0.047781412800000006</v>
      </c>
      <c r="L15">
        <f t="shared" si="2"/>
        <v>0.003846156262298773</v>
      </c>
      <c r="M15" s="7"/>
      <c r="N15" s="7"/>
    </row>
    <row r="16" spans="1:14" ht="12.75">
      <c r="A16" s="1" t="s">
        <v>48</v>
      </c>
      <c r="K16" s="1">
        <f>SUM(K8:K15)</f>
        <v>3.4196175457957834</v>
      </c>
      <c r="L16" s="1">
        <f>SUM(L8:L15)</f>
        <v>0.34102682050065164</v>
      </c>
      <c r="M16" s="7"/>
      <c r="N16" s="7"/>
    </row>
    <row r="17" spans="1:14" ht="12.75">
      <c r="A17" t="s">
        <v>27</v>
      </c>
      <c r="B17" t="s">
        <v>45</v>
      </c>
      <c r="C17">
        <v>1.85</v>
      </c>
      <c r="D17">
        <v>174</v>
      </c>
      <c r="E17">
        <v>1</v>
      </c>
      <c r="F17">
        <f>4.5*11-PI()*2.7*2.7/4</f>
        <v>43.7744473888326</v>
      </c>
      <c r="G17">
        <v>1</v>
      </c>
      <c r="H17">
        <f>(26-11)*4.4-2.5*2.5</f>
        <v>59.75</v>
      </c>
      <c r="I17">
        <v>0.72</v>
      </c>
      <c r="J17">
        <f>(F17*G17+H17*I17)*E17</f>
        <v>86.7944473888326</v>
      </c>
      <c r="K17">
        <f>J17*C17*0.001</f>
        <v>0.1605697276693403</v>
      </c>
      <c r="L17">
        <f>100*J17/(D17*$C$1)</f>
        <v>0.01614123220456368</v>
      </c>
      <c r="M17" s="7"/>
      <c r="N17" s="7"/>
    </row>
    <row r="18" spans="1:14" ht="12.75">
      <c r="A18" t="s">
        <v>28</v>
      </c>
      <c r="B18" t="s">
        <v>29</v>
      </c>
      <c r="C18">
        <v>2.34</v>
      </c>
      <c r="D18">
        <v>89</v>
      </c>
      <c r="E18">
        <v>1</v>
      </c>
      <c r="F18">
        <f>4.3*10-(PI()+1)</f>
        <v>38.8584073464102</v>
      </c>
      <c r="G18">
        <v>0.5</v>
      </c>
      <c r="J18">
        <f>(F18*G18+H18*I18)*E18</f>
        <v>19.4292036732051</v>
      </c>
      <c r="K18">
        <f>J18*C18*0.001</f>
        <v>0.045464336595299935</v>
      </c>
      <c r="L18">
        <f>100*J18/(D18*$C$1)</f>
        <v>0.00706413492076398</v>
      </c>
      <c r="M18" s="7"/>
      <c r="N18" s="7"/>
    </row>
    <row r="19" spans="1:14" ht="12.75">
      <c r="A19" t="s">
        <v>36</v>
      </c>
      <c r="B19" t="s">
        <v>26</v>
      </c>
      <c r="C19">
        <v>1.2</v>
      </c>
      <c r="D19">
        <v>335</v>
      </c>
      <c r="E19">
        <v>1</v>
      </c>
      <c r="F19">
        <f>F17+H17+4*3*2</f>
        <v>127.5244473888326</v>
      </c>
      <c r="G19">
        <v>0.05</v>
      </c>
      <c r="J19">
        <f>(F19*G19+H19*I19)*E19</f>
        <v>6.3762223694416305</v>
      </c>
      <c r="K19">
        <f>J19*C19*0.001</f>
        <v>0.007651466843329956</v>
      </c>
      <c r="L19">
        <f>100*J19/(D19*$C$1)</f>
        <v>0.0006159034526338856</v>
      </c>
      <c r="M19" s="7"/>
      <c r="N19" s="7"/>
    </row>
    <row r="20" spans="1:14" ht="12.75">
      <c r="A20" s="1" t="s">
        <v>47</v>
      </c>
      <c r="K20" s="1">
        <f>K17+K18+K19</f>
        <v>0.2136855311079702</v>
      </c>
      <c r="L20" s="1">
        <f>L17+L18+L19</f>
        <v>0.02382127057796155</v>
      </c>
      <c r="M20" s="7"/>
      <c r="N20" s="7"/>
    </row>
    <row r="21" spans="1:14" ht="12.75">
      <c r="A21" t="s">
        <v>44</v>
      </c>
      <c r="B21" t="s">
        <v>26</v>
      </c>
      <c r="C21">
        <v>1.2</v>
      </c>
      <c r="D21">
        <v>335</v>
      </c>
      <c r="E21">
        <v>1</v>
      </c>
      <c r="F21">
        <v>28</v>
      </c>
      <c r="G21">
        <v>0.1</v>
      </c>
      <c r="J21">
        <f>(F21*G21+H21*I21)*E21</f>
        <v>2.8000000000000003</v>
      </c>
      <c r="K21">
        <f>J21*C21*0.001</f>
        <v>0.0033600000000000006</v>
      </c>
      <c r="L21">
        <f>100*J21/(D21*$C$1)</f>
        <v>0.00027046259798588196</v>
      </c>
      <c r="M21" s="7"/>
      <c r="N21" s="7"/>
    </row>
    <row r="22" spans="1:14" ht="12.75">
      <c r="A22" s="1" t="s">
        <v>49</v>
      </c>
      <c r="K22" s="1">
        <f>K16+K20+K21</f>
        <v>3.6366630769037536</v>
      </c>
      <c r="L22" s="1">
        <f>L16+L20+L21</f>
        <v>0.36511855367659907</v>
      </c>
      <c r="M22" s="10">
        <v>3.469</v>
      </c>
      <c r="N22" s="7">
        <v>0.05</v>
      </c>
    </row>
    <row r="23" spans="1:14" ht="12.75">
      <c r="A23" t="s">
        <v>30</v>
      </c>
      <c r="B23" t="s">
        <v>45</v>
      </c>
      <c r="C23">
        <v>1.85</v>
      </c>
      <c r="D23">
        <v>174</v>
      </c>
      <c r="E23">
        <v>1</v>
      </c>
      <c r="F23">
        <f>6*12/2+1.2*12</f>
        <v>50.4</v>
      </c>
      <c r="G23">
        <v>1</v>
      </c>
      <c r="H23">
        <f>9.8*12-(2*2+PI()*4*4/4)</f>
        <v>101.03362938564084</v>
      </c>
      <c r="I23">
        <v>0.58</v>
      </c>
      <c r="J23">
        <f>(F23*G23+H23*I23)*E23</f>
        <v>108.99950504367169</v>
      </c>
      <c r="K23">
        <f>J23*C23*0.001</f>
        <v>0.20164908433079265</v>
      </c>
      <c r="L23">
        <f>100*J23/(D23*$C$1)</f>
        <v>0.020270724384135963</v>
      </c>
      <c r="M23" s="7"/>
      <c r="N23" s="7"/>
    </row>
    <row r="24" spans="1:14" ht="12.75">
      <c r="A24" t="s">
        <v>31</v>
      </c>
      <c r="B24" t="s">
        <v>29</v>
      </c>
      <c r="C24">
        <v>2.34</v>
      </c>
      <c r="D24">
        <v>89</v>
      </c>
      <c r="E24">
        <v>1</v>
      </c>
      <c r="F24">
        <f>(8*8-3*3)*PI()/4</f>
        <v>43.19689898685966</v>
      </c>
      <c r="G24">
        <v>0.5</v>
      </c>
      <c r="J24">
        <f>(F24*G24+H24*I24)*E24</f>
        <v>21.59844949342983</v>
      </c>
      <c r="K24">
        <f>J24*C24*0.001</f>
        <v>0.0505403718146258</v>
      </c>
      <c r="L24">
        <f>100*J24/(D24*$C$1)</f>
        <v>0.007852836578748244</v>
      </c>
      <c r="M24" s="7"/>
      <c r="N24" s="7"/>
    </row>
    <row r="25" spans="1:14" ht="12.75">
      <c r="A25" t="s">
        <v>37</v>
      </c>
      <c r="B25" t="s">
        <v>26</v>
      </c>
      <c r="C25">
        <v>1.2</v>
      </c>
      <c r="D25">
        <v>335</v>
      </c>
      <c r="E25">
        <v>1</v>
      </c>
      <c r="F25">
        <f>0.7*(F24+F23+H23)</f>
        <v>136.24136986075032</v>
      </c>
      <c r="G25">
        <v>0.1</v>
      </c>
      <c r="J25">
        <f>(F25*G25+H25*I25)*E25</f>
        <v>13.624136986075033</v>
      </c>
      <c r="K25">
        <f>J25*C25*0.001</f>
        <v>0.01634896438329004</v>
      </c>
      <c r="L25">
        <f>100*J25/(D25*$C$1)</f>
        <v>0.0013160069587747848</v>
      </c>
      <c r="M25" s="7"/>
      <c r="N25" s="7"/>
    </row>
    <row r="26" spans="1:14" ht="12.75">
      <c r="A26" s="1" t="s">
        <v>30</v>
      </c>
      <c r="K26" s="1">
        <f>K23+K24+K25</f>
        <v>0.26853842052870847</v>
      </c>
      <c r="L26" s="1">
        <f>L23+L24+L25</f>
        <v>0.029439567921658992</v>
      </c>
      <c r="M26" s="10">
        <v>0.2783</v>
      </c>
      <c r="N26" s="7">
        <v>0.001</v>
      </c>
    </row>
    <row r="27" spans="1:14" ht="12.75">
      <c r="A27" t="s">
        <v>35</v>
      </c>
      <c r="B27" t="s">
        <v>26</v>
      </c>
      <c r="C27">
        <v>1.2</v>
      </c>
      <c r="D27">
        <v>335</v>
      </c>
      <c r="E27">
        <v>2</v>
      </c>
      <c r="F27">
        <f>23*(57.515+65.54+0.1)+8*(64.65-23)+3*(56.4+71.8-2*23)</f>
        <v>3412.3650000000002</v>
      </c>
      <c r="G27">
        <v>0.05</v>
      </c>
      <c r="J27">
        <f>(F27*G27+H27*I27)*E27</f>
        <v>341.23650000000004</v>
      </c>
      <c r="K27">
        <f>J27*C27*0.001</f>
        <v>0.40948380000000006</v>
      </c>
      <c r="L27">
        <f>100*J27/(D27*$C$1)</f>
        <v>0.03296132511343193</v>
      </c>
      <c r="M27" s="7"/>
      <c r="N27" s="7"/>
    </row>
    <row r="28" spans="1:14" ht="12.75">
      <c r="A28" t="s">
        <v>32</v>
      </c>
      <c r="B28" t="s">
        <v>26</v>
      </c>
      <c r="C28">
        <v>1.2</v>
      </c>
      <c r="D28">
        <v>335</v>
      </c>
      <c r="E28">
        <v>2</v>
      </c>
      <c r="F28">
        <f>3*60+3*60</f>
        <v>360</v>
      </c>
      <c r="G28">
        <v>0.1</v>
      </c>
      <c r="J28">
        <f>(F28*G28+H28*I28)*E28</f>
        <v>72</v>
      </c>
      <c r="K28">
        <f>J28*C28*0.001</f>
        <v>0.08639999999999999</v>
      </c>
      <c r="L28">
        <f>100*J28/(D28*$C$1)</f>
        <v>0.006954752519636964</v>
      </c>
      <c r="M28" s="7"/>
      <c r="N28" s="7"/>
    </row>
    <row r="29" spans="1:14" ht="12.75">
      <c r="A29" t="s">
        <v>50</v>
      </c>
      <c r="B29" t="s">
        <v>26</v>
      </c>
      <c r="C29">
        <v>1.2</v>
      </c>
      <c r="D29">
        <v>335</v>
      </c>
      <c r="E29">
        <v>1</v>
      </c>
      <c r="F29">
        <v>120</v>
      </c>
      <c r="G29">
        <v>0.1</v>
      </c>
      <c r="J29">
        <f>(F29*G29+H29*I29)*E29</f>
        <v>12</v>
      </c>
      <c r="K29">
        <f>J29*C29*0.001</f>
        <v>0.0144</v>
      </c>
      <c r="L29">
        <f>100*J29/(D29*$C$1)</f>
        <v>0.001159125419939494</v>
      </c>
      <c r="M29" s="7"/>
      <c r="N29" s="7"/>
    </row>
    <row r="30" spans="1:14" ht="12.75">
      <c r="A30" s="1" t="s">
        <v>52</v>
      </c>
      <c r="K30" s="1">
        <f>K27+K28+K29</f>
        <v>0.5102838000000001</v>
      </c>
      <c r="L30" s="1">
        <f>L27+L28+L29</f>
        <v>0.041075203053008394</v>
      </c>
      <c r="M30" s="9">
        <f>K30</f>
        <v>0.5102838000000001</v>
      </c>
      <c r="N30" s="7"/>
    </row>
    <row r="31" spans="1:14" ht="12.75">
      <c r="A31" s="3" t="s">
        <v>62</v>
      </c>
      <c r="B31" t="s">
        <v>34</v>
      </c>
      <c r="C31">
        <v>2.23</v>
      </c>
      <c r="D31">
        <v>127</v>
      </c>
      <c r="E31">
        <v>2</v>
      </c>
      <c r="F31" s="3">
        <f>0.5*(36.602*(10.19*(2-36.602/76)+(8.67*36.602/76))-(7.25*7.65))</f>
        <v>331.84606596</v>
      </c>
      <c r="G31" s="3">
        <v>0.3</v>
      </c>
      <c r="H31" s="3"/>
      <c r="I31" s="3"/>
      <c r="J31">
        <f>(F31*G31+H31*I31)*E31</f>
        <v>199.10763957599997</v>
      </c>
      <c r="K31">
        <f>J31*C31*0.001</f>
        <v>0.44401003625447993</v>
      </c>
      <c r="L31">
        <f>100*J31/(D31*$C$1)</f>
        <v>0.05073155729841991</v>
      </c>
      <c r="M31" s="10">
        <v>0.492</v>
      </c>
      <c r="N31" s="7">
        <v>0.01</v>
      </c>
    </row>
    <row r="32" spans="1:14" ht="12.75">
      <c r="A32" s="3" t="s">
        <v>63</v>
      </c>
      <c r="B32" t="s">
        <v>34</v>
      </c>
      <c r="C32">
        <v>2.23</v>
      </c>
      <c r="D32">
        <v>127</v>
      </c>
      <c r="E32">
        <v>2</v>
      </c>
      <c r="F32" s="3">
        <f>0.5*(38.998*(8.67*(2-38.998/76)+(10.19*38.998/76))-(10.12*8.05))</f>
        <v>312.58810004</v>
      </c>
      <c r="G32" s="3">
        <v>0.3</v>
      </c>
      <c r="H32" s="3"/>
      <c r="I32" s="3"/>
      <c r="J32" s="3">
        <f>(F32*G32+H32*I32)*E32</f>
        <v>187.55286002399998</v>
      </c>
      <c r="K32" s="3">
        <f>J32*C32*0.001</f>
        <v>0.41824287785352</v>
      </c>
      <c r="L32" s="3">
        <f>100*J32/(D32*$C$1)</f>
        <v>0.047787461521074576</v>
      </c>
      <c r="M32" s="12"/>
      <c r="N32" s="7"/>
    </row>
    <row r="33" spans="1:14" ht="12.75">
      <c r="A33" s="1" t="s">
        <v>41</v>
      </c>
      <c r="K33" s="1">
        <f>K31+K32</f>
        <v>0.862252914108</v>
      </c>
      <c r="L33" s="1">
        <f>L31+L32</f>
        <v>0.09851901881949449</v>
      </c>
      <c r="M33" s="9">
        <f>K33</f>
        <v>0.862252914108</v>
      </c>
      <c r="N33" s="7"/>
    </row>
    <row r="34" spans="1:14" ht="12.75">
      <c r="A34" s="1" t="s">
        <v>51</v>
      </c>
      <c r="K34" s="1">
        <v>6.95</v>
      </c>
      <c r="L34" s="1">
        <f>0.408*7911/C1</f>
        <v>1.0444449123543982</v>
      </c>
      <c r="M34" s="10">
        <v>7.705</v>
      </c>
      <c r="N34" s="7">
        <v>0.094</v>
      </c>
    </row>
    <row r="35" spans="1:14" ht="12.75">
      <c r="A35" s="1" t="s">
        <v>60</v>
      </c>
      <c r="B35" t="s">
        <v>29</v>
      </c>
      <c r="C35">
        <v>2.34</v>
      </c>
      <c r="D35">
        <v>89</v>
      </c>
      <c r="E35">
        <v>1</v>
      </c>
      <c r="J35">
        <v>0.785</v>
      </c>
      <c r="K35" s="1">
        <f>J35*C35*0.001</f>
        <v>0.0018369</v>
      </c>
      <c r="L35" s="1">
        <f>100*J35/(D35*$C$1)</f>
        <v>0.0002854129281915622</v>
      </c>
      <c r="M35" s="9">
        <f>K35</f>
        <v>0.0018369</v>
      </c>
      <c r="N35" s="7"/>
    </row>
    <row r="36" spans="1:14" ht="12.75">
      <c r="A36" s="2" t="s">
        <v>33</v>
      </c>
      <c r="K36" s="5">
        <f>K7+K22+K26+K30+K33+K34+K35</f>
        <v>16.35146818936246</v>
      </c>
      <c r="L36" s="5">
        <f>L7+L22+L26+L30+L33+L34+L35</f>
        <v>2.1878570277277096</v>
      </c>
      <c r="M36" s="8">
        <f>M7+M22+M26+M30+M33+M34+M35</f>
        <v>16.948673614108</v>
      </c>
      <c r="N36" s="8">
        <f>SQRT(N7*N7+N22*N22+N26*N26+N30*N30+N33*N33+N34*N34+N35*N35)</f>
        <v>0.10694391053257778</v>
      </c>
    </row>
    <row r="37" spans="1:14" ht="12.75">
      <c r="A37" s="2" t="s">
        <v>53</v>
      </c>
      <c r="M37" s="11">
        <v>16.503</v>
      </c>
      <c r="N37" s="7">
        <v>0.127</v>
      </c>
    </row>
  </sheetData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0"/>
  <sheetViews>
    <sheetView zoomScale="75" zoomScaleNormal="75" workbookViewId="0" topLeftCell="A1">
      <selection activeCell="S16" sqref="S16"/>
    </sheetView>
  </sheetViews>
  <sheetFormatPr defaultColWidth="9.140625" defaultRowHeight="12.75"/>
  <cols>
    <col min="8" max="8" width="11.7109375" style="0" customWidth="1"/>
  </cols>
  <sheetData>
    <row r="2" spans="3:17" ht="12.75"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L2" t="s">
        <v>54</v>
      </c>
      <c r="M2" t="s">
        <v>55</v>
      </c>
      <c r="N2" t="s">
        <v>56</v>
      </c>
      <c r="O2" t="s">
        <v>57</v>
      </c>
      <c r="P2" t="s">
        <v>58</v>
      </c>
      <c r="Q2" t="s">
        <v>59</v>
      </c>
    </row>
    <row r="3" spans="2:4" ht="12.75">
      <c r="B3" s="6" t="s">
        <v>66</v>
      </c>
      <c r="C3" s="5"/>
      <c r="D3" t="s">
        <v>61</v>
      </c>
    </row>
    <row r="4" spans="11:17" ht="12.75">
      <c r="K4" s="6" t="s">
        <v>67</v>
      </c>
      <c r="L4" s="5"/>
      <c r="N4" s="7"/>
      <c r="O4" s="7"/>
      <c r="P4" s="7"/>
      <c r="Q4" s="7"/>
    </row>
    <row r="5" spans="3:17" ht="12.75">
      <c r="C5">
        <v>39</v>
      </c>
      <c r="D5" s="7">
        <v>3.505</v>
      </c>
      <c r="E5" s="7"/>
      <c r="F5" s="7"/>
      <c r="G5" s="7"/>
      <c r="L5">
        <v>42</v>
      </c>
      <c r="M5" s="7">
        <v>15.2</v>
      </c>
      <c r="N5" s="7"/>
      <c r="O5" s="7"/>
      <c r="P5" s="7"/>
      <c r="Q5" s="7"/>
    </row>
    <row r="6" spans="3:17" ht="12.75">
      <c r="C6">
        <v>328</v>
      </c>
      <c r="D6" s="7">
        <v>3.395</v>
      </c>
      <c r="E6" s="7"/>
      <c r="F6" s="7"/>
      <c r="G6" s="7"/>
      <c r="L6">
        <v>45</v>
      </c>
      <c r="M6" s="7">
        <v>17.03</v>
      </c>
      <c r="N6" s="7"/>
      <c r="O6" s="7"/>
      <c r="P6" s="7"/>
      <c r="Q6" s="7"/>
    </row>
    <row r="7" spans="3:17" ht="12.75">
      <c r="C7">
        <v>323</v>
      </c>
      <c r="D7" s="7">
        <v>3.475</v>
      </c>
      <c r="E7" s="7"/>
      <c r="F7" s="7"/>
      <c r="G7" s="7"/>
      <c r="L7">
        <v>48</v>
      </c>
      <c r="M7" s="7">
        <v>17.1</v>
      </c>
      <c r="N7" s="7"/>
      <c r="O7" s="7"/>
      <c r="P7" s="7"/>
      <c r="Q7" s="7"/>
    </row>
    <row r="8" spans="3:17" ht="12.75">
      <c r="C8">
        <v>316</v>
      </c>
      <c r="D8" s="7">
        <v>3.3</v>
      </c>
      <c r="E8" s="7"/>
      <c r="F8" s="7"/>
      <c r="G8" s="7"/>
      <c r="L8">
        <v>53</v>
      </c>
      <c r="M8" s="7">
        <v>17.15</v>
      </c>
      <c r="N8" s="7"/>
      <c r="O8" s="7"/>
      <c r="P8" s="7"/>
      <c r="Q8" s="7"/>
    </row>
    <row r="9" spans="3:17" ht="12.75">
      <c r="C9">
        <v>305</v>
      </c>
      <c r="D9" s="7">
        <v>3.54</v>
      </c>
      <c r="E9" s="7"/>
      <c r="F9" s="7"/>
      <c r="G9" s="7"/>
      <c r="L9">
        <v>60</v>
      </c>
      <c r="M9" s="7">
        <v>16.75</v>
      </c>
      <c r="N9" s="7"/>
      <c r="O9" s="7"/>
      <c r="P9" s="7"/>
      <c r="Q9" s="7"/>
    </row>
    <row r="10" spans="3:17" ht="12.75">
      <c r="C10">
        <v>270</v>
      </c>
      <c r="D10" s="7">
        <v>3.57</v>
      </c>
      <c r="E10" s="7"/>
      <c r="F10" s="7"/>
      <c r="G10" s="7"/>
      <c r="L10">
        <v>64</v>
      </c>
      <c r="M10" s="7">
        <v>16.81</v>
      </c>
      <c r="N10" s="7"/>
      <c r="O10" s="7"/>
      <c r="P10" s="7"/>
      <c r="Q10" s="7"/>
    </row>
    <row r="11" spans="3:17" ht="12.75">
      <c r="C11">
        <v>266</v>
      </c>
      <c r="D11" s="7">
        <v>3.495</v>
      </c>
      <c r="E11" s="7"/>
      <c r="F11" s="7"/>
      <c r="G11" s="7"/>
      <c r="L11">
        <v>74</v>
      </c>
      <c r="M11" s="7">
        <v>16.25</v>
      </c>
      <c r="N11" s="7"/>
      <c r="O11" s="7"/>
      <c r="P11" s="7"/>
      <c r="Q11" s="7"/>
    </row>
    <row r="12" spans="4:17" ht="12.75">
      <c r="D12" s="7"/>
      <c r="E12" s="7">
        <f>AVERAGE(D5:D11)</f>
        <v>3.468571428571429</v>
      </c>
      <c r="F12" s="7">
        <f>STDEV(D5:D11)</f>
        <v>0.09245333443212625</v>
      </c>
      <c r="G12" s="7">
        <f>E12</f>
        <v>3.468571428571429</v>
      </c>
      <c r="H12">
        <v>0.05</v>
      </c>
      <c r="L12">
        <v>80</v>
      </c>
      <c r="M12" s="7">
        <v>16.44</v>
      </c>
      <c r="N12" s="7"/>
      <c r="O12" s="7"/>
      <c r="P12" s="7"/>
      <c r="Q12" s="7"/>
    </row>
    <row r="13" spans="12:17" ht="12.75">
      <c r="L13">
        <v>89</v>
      </c>
      <c r="M13" s="7">
        <v>16.62</v>
      </c>
      <c r="N13" s="7"/>
      <c r="O13" s="7"/>
      <c r="P13" s="7"/>
      <c r="Q13" s="7"/>
    </row>
    <row r="14" spans="12:17" ht="12.75">
      <c r="L14">
        <v>90</v>
      </c>
      <c r="M14" s="7">
        <v>15.16</v>
      </c>
      <c r="N14" s="7"/>
      <c r="O14" s="7"/>
      <c r="P14" s="7"/>
      <c r="Q14" s="7"/>
    </row>
    <row r="15" spans="13:17" ht="12.75">
      <c r="M15" s="7"/>
      <c r="N15" s="7">
        <f>AVERAGE(M5:M14)</f>
        <v>16.451</v>
      </c>
      <c r="O15" s="7">
        <f>STDEV(M5:M14)</f>
        <v>0.7275598486264182</v>
      </c>
      <c r="P15" s="7"/>
      <c r="Q15" s="7"/>
    </row>
    <row r="16" spans="11:12" ht="12.75">
      <c r="K16" s="6" t="s">
        <v>68</v>
      </c>
      <c r="L16" s="5"/>
    </row>
    <row r="17" spans="12:13" ht="12.75">
      <c r="L17">
        <v>446</v>
      </c>
      <c r="M17" s="7">
        <v>16.61</v>
      </c>
    </row>
    <row r="18" spans="12:13" ht="12.75">
      <c r="L18">
        <v>465</v>
      </c>
      <c r="M18" s="7">
        <v>16.585</v>
      </c>
    </row>
    <row r="19" spans="2:13" ht="12.75">
      <c r="B19" s="6" t="s">
        <v>65</v>
      </c>
      <c r="C19" s="5"/>
      <c r="D19" t="s">
        <v>69</v>
      </c>
      <c r="L19">
        <v>466</v>
      </c>
      <c r="M19" s="7">
        <v>16.565</v>
      </c>
    </row>
    <row r="20" spans="12:13" ht="12.75">
      <c r="L20">
        <v>467</v>
      </c>
      <c r="M20" s="7">
        <v>16.43</v>
      </c>
    </row>
    <row r="21" spans="4:13" ht="12.75">
      <c r="D21" s="7">
        <v>2.065</v>
      </c>
      <c r="E21" s="7"/>
      <c r="F21" s="7"/>
      <c r="G21" s="7"/>
      <c r="H21" s="7"/>
      <c r="L21">
        <v>468</v>
      </c>
      <c r="M21" s="7">
        <v>16.38</v>
      </c>
    </row>
    <row r="22" spans="4:13" ht="12.75">
      <c r="D22" s="7">
        <v>2.06</v>
      </c>
      <c r="E22" s="7"/>
      <c r="F22" s="7"/>
      <c r="G22" s="7"/>
      <c r="H22" s="7"/>
      <c r="L22">
        <v>469</v>
      </c>
      <c r="M22" s="7">
        <v>16.43</v>
      </c>
    </row>
    <row r="23" spans="4:13" ht="12.75">
      <c r="D23" s="7">
        <v>2.06</v>
      </c>
      <c r="E23" s="7"/>
      <c r="F23" s="7"/>
      <c r="G23" s="7"/>
      <c r="H23" s="7"/>
      <c r="L23">
        <v>470</v>
      </c>
      <c r="M23" s="7">
        <v>16.635</v>
      </c>
    </row>
    <row r="24" spans="4:13" ht="12.75">
      <c r="D24" s="7">
        <v>2.06</v>
      </c>
      <c r="E24" s="7"/>
      <c r="F24" s="7"/>
      <c r="G24" s="7"/>
      <c r="H24" s="7"/>
      <c r="L24">
        <v>471</v>
      </c>
      <c r="M24" s="7">
        <v>16.595</v>
      </c>
    </row>
    <row r="25" spans="4:13" ht="12.75">
      <c r="D25" s="7"/>
      <c r="E25" s="7">
        <f>AVERAGE(D21:D24)</f>
        <v>2.0612500000000002</v>
      </c>
      <c r="F25" s="7">
        <f>STDEV(D21:D24)</f>
        <v>0.002499999999923072</v>
      </c>
      <c r="G25" s="7">
        <f>E25</f>
        <v>2.0612500000000002</v>
      </c>
      <c r="H25" s="7">
        <v>0.01</v>
      </c>
      <c r="L25">
        <v>472</v>
      </c>
      <c r="M25" s="7">
        <v>16.54</v>
      </c>
    </row>
    <row r="26" spans="12:13" ht="12.75">
      <c r="L26">
        <v>473</v>
      </c>
      <c r="M26" s="7">
        <v>16.775</v>
      </c>
    </row>
    <row r="27" spans="14:15" ht="12.75">
      <c r="N27" s="7">
        <f>AVERAGE(M17:M26)</f>
        <v>16.5545</v>
      </c>
      <c r="O27" s="7">
        <f>STDEV(M17:M26)</f>
        <v>0.116677380460147</v>
      </c>
    </row>
    <row r="30" spans="11:17" ht="12.75">
      <c r="K30" s="5" t="s">
        <v>70</v>
      </c>
      <c r="N30" s="7">
        <f>AVERAGE(M5:M14,M17:M26)</f>
        <v>16.50275</v>
      </c>
      <c r="O30" s="7">
        <f>STDEV(M5:M14,M17:M26)</f>
        <v>0.5099109184326742</v>
      </c>
      <c r="P30" s="7">
        <f>N30</f>
        <v>16.50275</v>
      </c>
      <c r="Q30">
        <f>O30/4</f>
        <v>0.12747772960816856</v>
      </c>
    </row>
  </sheetData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 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Haywood</cp:lastModifiedBy>
  <cp:lastPrinted>2004-12-02T07:44:05Z</cp:lastPrinted>
  <dcterms:created xsi:type="dcterms:W3CDTF">2002-05-24T06:55:32Z</dcterms:created>
  <dcterms:modified xsi:type="dcterms:W3CDTF">2004-12-02T07:46:34Z</dcterms:modified>
  <cp:category/>
  <cp:version/>
  <cp:contentType/>
  <cp:contentStatus/>
</cp:coreProperties>
</file>