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170" windowHeight="10470" activeTab="0"/>
  </bookViews>
  <sheets>
    <sheet name="Summary" sheetId="1" r:id="rId1"/>
    <sheet name="Weights" sheetId="2" r:id="rId2"/>
  </sheets>
  <definedNames/>
  <calcPr fullCalcOnLoad="1"/>
</workbook>
</file>

<file path=xl/sharedStrings.xml><?xml version="1.0" encoding="utf-8"?>
<sst xmlns="http://schemas.openxmlformats.org/spreadsheetml/2006/main" count="107" uniqueCount="74">
  <si>
    <t>Part name</t>
  </si>
  <si>
    <t>Material</t>
  </si>
  <si>
    <t>Area1</t>
  </si>
  <si>
    <t>Volume</t>
  </si>
  <si>
    <t>Density</t>
  </si>
  <si>
    <t>g/cc</t>
  </si>
  <si>
    <t>mm</t>
  </si>
  <si>
    <t>mm^2</t>
  </si>
  <si>
    <t>mm^3</t>
  </si>
  <si>
    <t>Mass</t>
  </si>
  <si>
    <t>g</t>
  </si>
  <si>
    <t>X0</t>
  </si>
  <si>
    <t>%</t>
  </si>
  <si>
    <t>Silicon</t>
  </si>
  <si>
    <t>TPG spine</t>
  </si>
  <si>
    <t>TPG</t>
  </si>
  <si>
    <t>Area2</t>
  </si>
  <si>
    <t>Far wings</t>
  </si>
  <si>
    <t>AlN</t>
  </si>
  <si>
    <t>Mid wings</t>
  </si>
  <si>
    <t>Near wings</t>
  </si>
  <si>
    <t>Far plate</t>
  </si>
  <si>
    <t>Near plate</t>
  </si>
  <si>
    <t>Spacers</t>
  </si>
  <si>
    <t>Spine glue</t>
  </si>
  <si>
    <t>Elastosil</t>
  </si>
  <si>
    <t>Spacer glue</t>
  </si>
  <si>
    <t>Araldite 2011</t>
  </si>
  <si>
    <t xml:space="preserve">Far washer </t>
  </si>
  <si>
    <t>Far precision hole</t>
  </si>
  <si>
    <t>Aluminium</t>
  </si>
  <si>
    <t>Main washer</t>
  </si>
  <si>
    <t>Main precision hole</t>
  </si>
  <si>
    <t>Fan-in glue</t>
  </si>
  <si>
    <t>Module Total</t>
  </si>
  <si>
    <t>Glass</t>
  </si>
  <si>
    <t>Detector glue</t>
  </si>
  <si>
    <t>Far washer glue</t>
  </si>
  <si>
    <t>Main washer glue</t>
  </si>
  <si>
    <t>No. off</t>
  </si>
  <si>
    <t>Thk1</t>
  </si>
  <si>
    <t>Thk2</t>
  </si>
  <si>
    <t>Fan-ins</t>
  </si>
  <si>
    <t>Detector area</t>
  </si>
  <si>
    <t>K5-middle</t>
  </si>
  <si>
    <t>W21 detectors</t>
  </si>
  <si>
    <t>W22 detectors</t>
  </si>
  <si>
    <t>Measured</t>
  </si>
  <si>
    <t>Spine-washer glue</t>
  </si>
  <si>
    <t>FR4</t>
  </si>
  <si>
    <t>Detectors</t>
  </si>
  <si>
    <t>Far washer</t>
  </si>
  <si>
    <t>Bare spine</t>
  </si>
  <si>
    <t>Spine with washer</t>
  </si>
  <si>
    <t>Washer glue</t>
  </si>
  <si>
    <t>Hybrid</t>
  </si>
  <si>
    <t>Assembly glue</t>
  </si>
  <si>
    <t>Measured module</t>
  </si>
  <si>
    <t>Middle spines</t>
  </si>
  <si>
    <t>Ser No</t>
  </si>
  <si>
    <t>Weight</t>
  </si>
  <si>
    <t>Mean</t>
  </si>
  <si>
    <t>Stdev</t>
  </si>
  <si>
    <t>Best Est</t>
  </si>
  <si>
    <t>Uncertainty</t>
  </si>
  <si>
    <t>Bond wire (1.6m x 25 um)</t>
  </si>
  <si>
    <t>they are mechanicals, but should be identical weigt to real detectors</t>
  </si>
  <si>
    <t>Modules</t>
  </si>
  <si>
    <t>M-M-417</t>
  </si>
  <si>
    <t>M-M-418</t>
  </si>
  <si>
    <t>M-M-419</t>
  </si>
  <si>
    <t>M-M-420</t>
  </si>
  <si>
    <t>with washers</t>
  </si>
  <si>
    <t>max-min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</si>
</sst>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Alignment="1">
      <alignment/>
    </xf>
    <xf numFmtId="164" fontId="1" fillId="4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="75" zoomScaleNormal="75" workbookViewId="0" topLeftCell="A1">
      <selection activeCell="G44" sqref="G44"/>
    </sheetView>
  </sheetViews>
  <sheetFormatPr defaultColWidth="9.140625" defaultRowHeight="12.75"/>
  <cols>
    <col min="1" max="1" width="17.28125" style="0" customWidth="1"/>
    <col min="2" max="2" width="11.8515625" style="0" customWidth="1"/>
    <col min="3" max="3" width="7.8515625" style="0" customWidth="1"/>
    <col min="4" max="4" width="5.8515625" style="0" customWidth="1"/>
    <col min="5" max="5" width="6.8515625" style="0" customWidth="1"/>
    <col min="6" max="6" width="8.00390625" style="0" customWidth="1"/>
    <col min="7" max="7" width="6.421875" style="0" customWidth="1"/>
    <col min="8" max="8" width="7.140625" style="0" customWidth="1"/>
    <col min="9" max="9" width="5.7109375" style="0" customWidth="1"/>
    <col min="10" max="10" width="7.8515625" style="0" customWidth="1"/>
    <col min="11" max="11" width="7.28125" style="0" customWidth="1"/>
    <col min="12" max="12" width="7.57421875" style="0" customWidth="1"/>
  </cols>
  <sheetData>
    <row r="1" spans="1:3" ht="12.75">
      <c r="A1" t="s">
        <v>44</v>
      </c>
      <c r="B1" t="s">
        <v>43</v>
      </c>
      <c r="C1">
        <f>F6+F7</f>
        <v>7803.3995025</v>
      </c>
    </row>
    <row r="2" spans="13:14" ht="12.75">
      <c r="M2" s="4" t="s">
        <v>47</v>
      </c>
      <c r="N2" t="s">
        <v>64</v>
      </c>
    </row>
    <row r="3" spans="1:13" ht="12.75">
      <c r="A3" t="s">
        <v>0</v>
      </c>
      <c r="B3" t="s">
        <v>1</v>
      </c>
      <c r="C3" t="s">
        <v>4</v>
      </c>
      <c r="D3" t="s">
        <v>11</v>
      </c>
      <c r="E3" t="s">
        <v>39</v>
      </c>
      <c r="F3" t="s">
        <v>2</v>
      </c>
      <c r="G3" t="s">
        <v>40</v>
      </c>
      <c r="H3" t="s">
        <v>16</v>
      </c>
      <c r="I3" t="s">
        <v>41</v>
      </c>
      <c r="J3" t="s">
        <v>3</v>
      </c>
      <c r="K3" t="s">
        <v>9</v>
      </c>
      <c r="L3" t="s">
        <v>11</v>
      </c>
      <c r="M3" s="4" t="s">
        <v>9</v>
      </c>
    </row>
    <row r="4" spans="3:13" ht="12.75">
      <c r="C4" t="s">
        <v>5</v>
      </c>
      <c r="D4" t="s">
        <v>6</v>
      </c>
      <c r="F4" t="s">
        <v>7</v>
      </c>
      <c r="G4" t="s">
        <v>6</v>
      </c>
      <c r="H4" t="s">
        <v>7</v>
      </c>
      <c r="I4" t="s">
        <v>6</v>
      </c>
      <c r="J4" t="s">
        <v>8</v>
      </c>
      <c r="K4" t="s">
        <v>10</v>
      </c>
      <c r="L4" t="s">
        <v>12</v>
      </c>
      <c r="M4" t="s">
        <v>10</v>
      </c>
    </row>
    <row r="6" spans="1:14" ht="12.75">
      <c r="A6" t="s">
        <v>45</v>
      </c>
      <c r="B6" t="s">
        <v>13</v>
      </c>
      <c r="C6">
        <v>2.34</v>
      </c>
      <c r="D6">
        <v>93.6</v>
      </c>
      <c r="E6">
        <v>2</v>
      </c>
      <c r="F6">
        <f>65.085*(66.13+55.734)/2</f>
        <v>3965.75922</v>
      </c>
      <c r="G6">
        <v>0.285</v>
      </c>
      <c r="J6">
        <f>(F6*G6+H6*I6)*E6</f>
        <v>2260.4827554</v>
      </c>
      <c r="K6">
        <f>J6*C6*0.001</f>
        <v>5.289529647635999</v>
      </c>
      <c r="L6">
        <f>100*J6/(D6*$C$1)</f>
        <v>0.30948635630822663</v>
      </c>
      <c r="M6" s="7">
        <v>5.338</v>
      </c>
      <c r="N6" s="7">
        <v>0.01</v>
      </c>
    </row>
    <row r="7" spans="1:14" ht="12.75">
      <c r="A7" t="s">
        <v>46</v>
      </c>
      <c r="B7" t="s">
        <v>13</v>
      </c>
      <c r="C7">
        <v>2.34</v>
      </c>
      <c r="D7">
        <v>93.6</v>
      </c>
      <c r="E7">
        <v>2</v>
      </c>
      <c r="F7">
        <f>54.435*(66.152+74.847)/2</f>
        <v>3837.6402825</v>
      </c>
      <c r="G7">
        <v>0.285</v>
      </c>
      <c r="J7">
        <f>(F7*G7+H7*I7)*E7</f>
        <v>2187.4549610249996</v>
      </c>
      <c r="K7">
        <f>J7*C7*0.001</f>
        <v>5.1186446087984985</v>
      </c>
      <c r="L7">
        <f aca="true" t="shared" si="0" ref="L7:L33">100*J7/(D7*$C$1)</f>
        <v>0.29948800266613224</v>
      </c>
      <c r="M7" s="7">
        <v>5.126</v>
      </c>
      <c r="N7" s="7">
        <v>0.01</v>
      </c>
    </row>
    <row r="8" spans="1:14" ht="12.75">
      <c r="A8" s="1" t="s">
        <v>50</v>
      </c>
      <c r="K8" s="1">
        <f>K6+K7</f>
        <v>10.408174256434497</v>
      </c>
      <c r="L8" s="1">
        <f>L6+L7</f>
        <v>0.6089743589743588</v>
      </c>
      <c r="M8" s="4">
        <f>M6+M7</f>
        <v>10.464</v>
      </c>
      <c r="N8" s="7"/>
    </row>
    <row r="9" spans="1:14" ht="12.75">
      <c r="A9" t="s">
        <v>14</v>
      </c>
      <c r="B9" t="s">
        <v>15</v>
      </c>
      <c r="C9">
        <v>2.08</v>
      </c>
      <c r="D9">
        <v>205</v>
      </c>
      <c r="E9">
        <v>1</v>
      </c>
      <c r="F9">
        <f>(135.72-(13.975+13))*23-2*3*8</f>
        <v>2453.135</v>
      </c>
      <c r="G9">
        <v>0.5</v>
      </c>
      <c r="H9">
        <f>23*(13.975+13)-(6*6+1.5*1.5+12*4.5)</f>
        <v>528.1750000000001</v>
      </c>
      <c r="I9">
        <v>0.225</v>
      </c>
      <c r="J9">
        <f>(F9*G9+H9*I9)*E9</f>
        <v>1345.4068750000001</v>
      </c>
      <c r="K9">
        <f aca="true" t="shared" si="1" ref="K9:K17">J9*C9*0.001</f>
        <v>2.7984463000000006</v>
      </c>
      <c r="L9">
        <f t="shared" si="0"/>
        <v>0.08410386221737157</v>
      </c>
      <c r="M9" s="7"/>
      <c r="N9" s="7"/>
    </row>
    <row r="10" spans="1:14" ht="12.75">
      <c r="A10" t="s">
        <v>17</v>
      </c>
      <c r="B10" t="s">
        <v>18</v>
      </c>
      <c r="C10">
        <v>3.25</v>
      </c>
      <c r="D10">
        <v>84</v>
      </c>
      <c r="E10">
        <v>2</v>
      </c>
      <c r="F10">
        <f>6.75*(23.5-3.25-6.75/2)+PI()*6.75*6.75/8</f>
        <v>131.7986019098981</v>
      </c>
      <c r="G10">
        <v>0.5</v>
      </c>
      <c r="H10">
        <f>3.25*6.75</f>
        <v>21.9375</v>
      </c>
      <c r="I10">
        <v>0.275</v>
      </c>
      <c r="J10">
        <f>(F10*G10+H10*I10)*E10</f>
        <v>143.86422690989812</v>
      </c>
      <c r="K10">
        <f t="shared" si="1"/>
        <v>0.4675587374571689</v>
      </c>
      <c r="L10">
        <f t="shared" si="0"/>
        <v>0.021947734028307585</v>
      </c>
      <c r="M10" s="7"/>
      <c r="N10" s="7"/>
    </row>
    <row r="11" spans="1:14" ht="12.75">
      <c r="A11" t="s">
        <v>19</v>
      </c>
      <c r="B11" t="s">
        <v>18</v>
      </c>
      <c r="C11">
        <v>3.25</v>
      </c>
      <c r="D11">
        <v>84</v>
      </c>
      <c r="E11">
        <v>2</v>
      </c>
      <c r="F11">
        <f>8*(31.5-8/2)+PI()*8*8/8</f>
        <v>245.13274122871834</v>
      </c>
      <c r="G11">
        <v>0.5</v>
      </c>
      <c r="J11">
        <f>(F11*G11+H11*I11)*E11</f>
        <v>245.13274122871834</v>
      </c>
      <c r="K11">
        <f t="shared" si="1"/>
        <v>0.7966814089933346</v>
      </c>
      <c r="L11">
        <f t="shared" si="0"/>
        <v>0.037397123118643044</v>
      </c>
      <c r="M11" s="7"/>
      <c r="N11" s="7"/>
    </row>
    <row r="12" spans="1:21" ht="12.75">
      <c r="A12" t="s">
        <v>20</v>
      </c>
      <c r="B12" t="s">
        <v>18</v>
      </c>
      <c r="C12">
        <v>3.25</v>
      </c>
      <c r="D12">
        <v>84</v>
      </c>
      <c r="E12">
        <v>2</v>
      </c>
      <c r="F12">
        <f>6.75*(31.875-3.25-6.75/2)+PI()*6.75*6.75/8</f>
        <v>188.3298519098981</v>
      </c>
      <c r="G12">
        <v>0.5</v>
      </c>
      <c r="H12">
        <f>3.25*6.75</f>
        <v>21.9375</v>
      </c>
      <c r="I12">
        <v>0.275</v>
      </c>
      <c r="J12">
        <f aca="true" t="shared" si="2" ref="J12:J17">(F12*G12+H12*I12)*E12</f>
        <v>200.39547690989812</v>
      </c>
      <c r="K12">
        <f t="shared" si="1"/>
        <v>0.651285299957169</v>
      </c>
      <c r="L12">
        <f t="shared" si="0"/>
        <v>0.03057206591357071</v>
      </c>
      <c r="M12" s="7"/>
      <c r="N12" s="7"/>
      <c r="U12" s="3"/>
    </row>
    <row r="13" spans="1:14" ht="12.75">
      <c r="A13" t="s">
        <v>21</v>
      </c>
      <c r="B13" t="s">
        <v>18</v>
      </c>
      <c r="C13">
        <v>3.25</v>
      </c>
      <c r="D13">
        <v>84</v>
      </c>
      <c r="E13">
        <v>1</v>
      </c>
      <c r="F13">
        <f>29*12.25-(4.5*4.5+PI()*2.2*2.2/4+2.2*0.5)</f>
        <v>330.0986728891563</v>
      </c>
      <c r="G13">
        <v>0.225</v>
      </c>
      <c r="J13">
        <f t="shared" si="2"/>
        <v>74.27220140006017</v>
      </c>
      <c r="K13">
        <f t="shared" si="1"/>
        <v>0.24138465455019553</v>
      </c>
      <c r="L13">
        <f t="shared" si="0"/>
        <v>0.011330867701018875</v>
      </c>
      <c r="M13" s="7"/>
      <c r="N13" s="7"/>
    </row>
    <row r="14" spans="1:14" ht="12.75">
      <c r="A14" t="s">
        <v>22</v>
      </c>
      <c r="B14" t="s">
        <v>18</v>
      </c>
      <c r="C14">
        <v>3.25</v>
      </c>
      <c r="D14">
        <v>84</v>
      </c>
      <c r="E14">
        <v>1</v>
      </c>
      <c r="F14">
        <f>29*6.75+7.675*(11+7.675)+1.417*2*(10.535-7.675)</f>
        <v>347.185865</v>
      </c>
      <c r="G14">
        <v>0.225</v>
      </c>
      <c r="J14">
        <f t="shared" si="2"/>
        <v>78.11681962499999</v>
      </c>
      <c r="K14">
        <f t="shared" si="1"/>
        <v>0.25387966378125</v>
      </c>
      <c r="L14">
        <f t="shared" si="0"/>
        <v>0.01191739751495386</v>
      </c>
      <c r="M14" s="7"/>
      <c r="N14" s="7"/>
    </row>
    <row r="15" spans="1:14" ht="12.75">
      <c r="A15" t="s">
        <v>24</v>
      </c>
      <c r="B15" t="s">
        <v>25</v>
      </c>
      <c r="C15">
        <v>1.2</v>
      </c>
      <c r="D15">
        <v>335</v>
      </c>
      <c r="E15">
        <v>1</v>
      </c>
      <c r="F15">
        <f>$H$9</f>
        <v>528.1750000000001</v>
      </c>
      <c r="G15">
        <v>0.05</v>
      </c>
      <c r="J15">
        <f t="shared" si="2"/>
        <v>26.408750000000005</v>
      </c>
      <c r="K15">
        <f t="shared" si="1"/>
        <v>0.0316905</v>
      </c>
      <c r="L15">
        <f t="shared" si="0"/>
        <v>0.0010102275236194575</v>
      </c>
      <c r="M15" s="7"/>
      <c r="N15" s="7"/>
    </row>
    <row r="16" spans="1:14" ht="12.75">
      <c r="A16" t="s">
        <v>23</v>
      </c>
      <c r="B16" t="s">
        <v>18</v>
      </c>
      <c r="C16">
        <v>3.25</v>
      </c>
      <c r="D16">
        <v>84</v>
      </c>
      <c r="E16">
        <v>2</v>
      </c>
      <c r="F16">
        <f>76*(2.07+3.59)/2-1.482*(4.68+6.11)</f>
        <v>199.08922</v>
      </c>
      <c r="G16">
        <v>0.325</v>
      </c>
      <c r="J16">
        <f t="shared" si="2"/>
        <v>129.407993</v>
      </c>
      <c r="K16">
        <f t="shared" si="1"/>
        <v>0.42057597725</v>
      </c>
      <c r="L16">
        <f t="shared" si="0"/>
        <v>0.019742310319297858</v>
      </c>
      <c r="M16" s="7"/>
      <c r="N16" s="7"/>
    </row>
    <row r="17" spans="1:14" ht="12.75">
      <c r="A17" t="s">
        <v>26</v>
      </c>
      <c r="B17" t="s">
        <v>27</v>
      </c>
      <c r="C17">
        <v>1.2</v>
      </c>
      <c r="D17">
        <v>335</v>
      </c>
      <c r="E17">
        <v>2</v>
      </c>
      <c r="F17">
        <f>F16</f>
        <v>199.08922</v>
      </c>
      <c r="G17">
        <v>0.1</v>
      </c>
      <c r="J17">
        <f t="shared" si="2"/>
        <v>39.81784400000001</v>
      </c>
      <c r="K17">
        <f t="shared" si="1"/>
        <v>0.047781412800000006</v>
      </c>
      <c r="L17">
        <f t="shared" si="0"/>
        <v>0.0015231725068390542</v>
      </c>
      <c r="M17" s="7"/>
      <c r="N17" s="7"/>
    </row>
    <row r="18" spans="1:14" ht="12.75">
      <c r="A18" s="1" t="s">
        <v>52</v>
      </c>
      <c r="K18" s="1">
        <f>SUM(K9:K17)</f>
        <v>5.709283954789119</v>
      </c>
      <c r="L18" s="1">
        <f>SUM(L9:L17)</f>
        <v>0.21954476084362198</v>
      </c>
      <c r="M18" s="7"/>
      <c r="N18" s="7"/>
    </row>
    <row r="19" spans="1:14" ht="12.75">
      <c r="A19" t="s">
        <v>28</v>
      </c>
      <c r="B19" t="s">
        <v>49</v>
      </c>
      <c r="C19">
        <v>1.85</v>
      </c>
      <c r="D19">
        <v>174</v>
      </c>
      <c r="E19">
        <v>1</v>
      </c>
      <c r="F19">
        <f>4.5*11-PI()*2.7*2.7/4</f>
        <v>43.7744473888326</v>
      </c>
      <c r="G19">
        <v>1</v>
      </c>
      <c r="H19">
        <f>(26-11)*4.4-2.5*2.5</f>
        <v>59.75</v>
      </c>
      <c r="I19">
        <v>0.72</v>
      </c>
      <c r="J19">
        <f>(F19*G19+H19*I19)*E19</f>
        <v>86.7944473888326</v>
      </c>
      <c r="K19">
        <f>J19*C19*0.001</f>
        <v>0.1605697276693403</v>
      </c>
      <c r="L19">
        <f>100*J19/(D19*$C$1)</f>
        <v>0.00639232507568531</v>
      </c>
      <c r="M19" s="7"/>
      <c r="N19" s="7"/>
    </row>
    <row r="20" spans="1:14" ht="12.75">
      <c r="A20" t="s">
        <v>29</v>
      </c>
      <c r="B20" t="s">
        <v>30</v>
      </c>
      <c r="C20">
        <v>2.34</v>
      </c>
      <c r="D20">
        <v>89</v>
      </c>
      <c r="E20">
        <v>1</v>
      </c>
      <c r="F20">
        <f>4.3*10-(PI()+1)</f>
        <v>38.8584073464102</v>
      </c>
      <c r="G20">
        <v>0.5</v>
      </c>
      <c r="J20">
        <f>(F20*G20+H20*I20)*E20</f>
        <v>19.4292036732051</v>
      </c>
      <c r="K20">
        <f>J20*C20*0.001</f>
        <v>0.045464336595299935</v>
      </c>
      <c r="L20">
        <f>100*J20/(D20*$C$1)</f>
        <v>0.0027975712275086803</v>
      </c>
      <c r="M20" s="7"/>
      <c r="N20" s="7"/>
    </row>
    <row r="21" spans="1:14" ht="12.75">
      <c r="A21" t="s">
        <v>37</v>
      </c>
      <c r="B21" t="s">
        <v>27</v>
      </c>
      <c r="C21">
        <v>1.2</v>
      </c>
      <c r="D21">
        <v>335</v>
      </c>
      <c r="E21">
        <v>1</v>
      </c>
      <c r="F21">
        <f>F19+H19+4*3*2</f>
        <v>127.5244473888326</v>
      </c>
      <c r="G21">
        <v>0.05</v>
      </c>
      <c r="J21">
        <f>(F21*G21+H21*I21)*E21</f>
        <v>6.3762223694416305</v>
      </c>
      <c r="K21">
        <f>J21*C21*0.001</f>
        <v>0.007651466843329956</v>
      </c>
      <c r="L21">
        <f>100*J21/(D21*$C$1)</f>
        <v>0.00024391292031345697</v>
      </c>
      <c r="M21" s="7"/>
      <c r="N21" s="7"/>
    </row>
    <row r="22" spans="1:14" ht="12.75">
      <c r="A22" s="1" t="s">
        <v>51</v>
      </c>
      <c r="K22" s="1">
        <f>K19+K20+K21</f>
        <v>0.2136855311079702</v>
      </c>
      <c r="L22" s="1">
        <f>L19+L20+L21</f>
        <v>0.009433809223507447</v>
      </c>
      <c r="M22" s="11">
        <v>0.2149</v>
      </c>
      <c r="N22" s="7">
        <v>0.003</v>
      </c>
    </row>
    <row r="23" spans="1:14" ht="12.75">
      <c r="A23" t="s">
        <v>48</v>
      </c>
      <c r="B23" t="s">
        <v>27</v>
      </c>
      <c r="C23">
        <v>1.2</v>
      </c>
      <c r="D23">
        <v>335</v>
      </c>
      <c r="E23">
        <v>1</v>
      </c>
      <c r="F23">
        <v>28</v>
      </c>
      <c r="G23">
        <v>0.1</v>
      </c>
      <c r="J23">
        <f>(F23*G23+H23*I23)*E23</f>
        <v>2.8000000000000003</v>
      </c>
      <c r="K23">
        <f>J23*C23*0.001</f>
        <v>0.0033600000000000006</v>
      </c>
      <c r="L23">
        <f>100*J23/(D23*$C$1)</f>
        <v>0.00010710984299273841</v>
      </c>
      <c r="M23" s="7"/>
      <c r="N23" s="7"/>
    </row>
    <row r="24" spans="1:14" ht="12.75">
      <c r="A24" s="1" t="s">
        <v>53</v>
      </c>
      <c r="K24" s="1">
        <f>K18+K22+K23</f>
        <v>5.926329485897089</v>
      </c>
      <c r="L24" s="1">
        <f>L18+L22+L23</f>
        <v>0.22908567991012216</v>
      </c>
      <c r="M24" s="11">
        <v>5.591</v>
      </c>
      <c r="N24" s="7">
        <v>0.03</v>
      </c>
    </row>
    <row r="25" spans="1:14" ht="12.75">
      <c r="A25" t="s">
        <v>31</v>
      </c>
      <c r="B25" t="s">
        <v>49</v>
      </c>
      <c r="C25">
        <v>1.85</v>
      </c>
      <c r="D25">
        <v>174</v>
      </c>
      <c r="E25">
        <v>1</v>
      </c>
      <c r="F25">
        <f>6*12/2+1.2*12</f>
        <v>50.4</v>
      </c>
      <c r="G25">
        <v>1</v>
      </c>
      <c r="H25">
        <f>9.8*12-(2*2+PI()*4*4/4)</f>
        <v>101.03362938564084</v>
      </c>
      <c r="I25">
        <v>0.58</v>
      </c>
      <c r="J25">
        <f>(F25*G25+H25*I25)*E25</f>
        <v>108.99950504367169</v>
      </c>
      <c r="K25">
        <f>J25*C25*0.001</f>
        <v>0.20164908433079265</v>
      </c>
      <c r="L25">
        <f t="shared" si="0"/>
        <v>0.008027705576677232</v>
      </c>
      <c r="M25" s="7"/>
      <c r="N25" s="7"/>
    </row>
    <row r="26" spans="1:14" ht="12.75">
      <c r="A26" t="s">
        <v>32</v>
      </c>
      <c r="B26" t="s">
        <v>30</v>
      </c>
      <c r="C26">
        <v>2.34</v>
      </c>
      <c r="D26">
        <v>89</v>
      </c>
      <c r="E26">
        <v>1</v>
      </c>
      <c r="F26">
        <f>(8*8-3*3)*PI()/4</f>
        <v>43.19689898685966</v>
      </c>
      <c r="G26">
        <v>0.5</v>
      </c>
      <c r="J26">
        <f>(F26*G26+H26*I26)*E26</f>
        <v>21.59844949342983</v>
      </c>
      <c r="K26">
        <f>J26*C26*0.001</f>
        <v>0.0505403718146258</v>
      </c>
      <c r="L26">
        <f t="shared" si="0"/>
        <v>0.003109916488494514</v>
      </c>
      <c r="M26" s="7"/>
      <c r="N26" s="7"/>
    </row>
    <row r="27" spans="1:14" ht="12.75">
      <c r="A27" t="s">
        <v>38</v>
      </c>
      <c r="B27" t="s">
        <v>27</v>
      </c>
      <c r="C27">
        <v>1.2</v>
      </c>
      <c r="D27">
        <v>335</v>
      </c>
      <c r="E27">
        <v>1</v>
      </c>
      <c r="F27">
        <f>0.7*(F26+F25+H25)</f>
        <v>136.24136986075032</v>
      </c>
      <c r="G27">
        <v>0.1</v>
      </c>
      <c r="J27">
        <f>(F27*G27+H27*I27)*E27</f>
        <v>13.624136986075033</v>
      </c>
      <c r="K27">
        <f>J27*C27*0.001</f>
        <v>0.01634896438329004</v>
      </c>
      <c r="L27">
        <f t="shared" si="0"/>
        <v>0.0005211711333893061</v>
      </c>
      <c r="M27" s="7"/>
      <c r="N27" s="7"/>
    </row>
    <row r="28" spans="1:14" ht="12.75">
      <c r="A28" s="1" t="s">
        <v>31</v>
      </c>
      <c r="K28" s="1">
        <f>K25+K26+K27</f>
        <v>0.26853842052870847</v>
      </c>
      <c r="L28" s="1">
        <f>L25+L26+L27</f>
        <v>0.011658793198561052</v>
      </c>
      <c r="M28" s="11">
        <v>0.2783</v>
      </c>
      <c r="N28" s="7">
        <v>0.001</v>
      </c>
    </row>
    <row r="29" spans="1:14" ht="12.75">
      <c r="A29" t="s">
        <v>36</v>
      </c>
      <c r="B29" t="s">
        <v>27</v>
      </c>
      <c r="C29">
        <v>1.2</v>
      </c>
      <c r="D29">
        <v>335</v>
      </c>
      <c r="E29">
        <v>2</v>
      </c>
      <c r="F29">
        <f>23*(54.445+65.085+0.1)+8*(66.14-23)+3*(55.7+74.8-2*23)</f>
        <v>3350.1099999999997</v>
      </c>
      <c r="G29">
        <v>0.05</v>
      </c>
      <c r="J29">
        <f>(F29*G29+H29*I29)*E29</f>
        <v>335.01099999999997</v>
      </c>
      <c r="K29">
        <f>J29*C29*0.001</f>
        <v>0.40201319999999996</v>
      </c>
      <c r="L29">
        <f>100*J29/(D29*$C$1)</f>
        <v>0.012815348432442959</v>
      </c>
      <c r="M29" s="7"/>
      <c r="N29" s="7"/>
    </row>
    <row r="30" spans="1:14" ht="12.75">
      <c r="A30" t="s">
        <v>33</v>
      </c>
      <c r="B30" t="s">
        <v>27</v>
      </c>
      <c r="C30">
        <v>1.2</v>
      </c>
      <c r="D30">
        <v>335</v>
      </c>
      <c r="E30">
        <v>2</v>
      </c>
      <c r="F30">
        <f>3*60+3*60</f>
        <v>360</v>
      </c>
      <c r="G30">
        <v>0.1</v>
      </c>
      <c r="J30">
        <f>(F30*G30+H30*I30)*E30</f>
        <v>72</v>
      </c>
      <c r="K30">
        <f>J30*C30*0.001</f>
        <v>0.08639999999999999</v>
      </c>
      <c r="L30">
        <f>100*J30/(D30*$C$1)</f>
        <v>0.002754253105527559</v>
      </c>
      <c r="M30" s="7"/>
      <c r="N30" s="7"/>
    </row>
    <row r="31" spans="1:14" ht="12.75">
      <c r="A31" t="s">
        <v>54</v>
      </c>
      <c r="B31" t="s">
        <v>27</v>
      </c>
      <c r="C31">
        <v>1.2</v>
      </c>
      <c r="D31">
        <v>335</v>
      </c>
      <c r="E31">
        <v>1</v>
      </c>
      <c r="F31">
        <v>120</v>
      </c>
      <c r="G31">
        <v>0.1</v>
      </c>
      <c r="J31">
        <f>(F31*G31+H31*I31)*E31</f>
        <v>12</v>
      </c>
      <c r="K31">
        <f>J31*C31*0.001</f>
        <v>0.0144</v>
      </c>
      <c r="L31">
        <f>100*J31/(D31*$C$1)</f>
        <v>0.0004590421842545932</v>
      </c>
      <c r="M31" s="7"/>
      <c r="N31" s="7"/>
    </row>
    <row r="32" spans="1:14" ht="12.75">
      <c r="A32" s="1" t="s">
        <v>56</v>
      </c>
      <c r="K32" s="1">
        <f>K29+K30+K31</f>
        <v>0.5028132</v>
      </c>
      <c r="L32" s="1">
        <f>L29+L30+L31</f>
        <v>0.01602864372222511</v>
      </c>
      <c r="M32" s="10">
        <f>K32</f>
        <v>0.5028132</v>
      </c>
      <c r="N32" s="7"/>
    </row>
    <row r="33" spans="1:14" ht="12.75">
      <c r="A33" s="1" t="s">
        <v>42</v>
      </c>
      <c r="B33" t="s">
        <v>35</v>
      </c>
      <c r="C33">
        <v>2.23</v>
      </c>
      <c r="D33">
        <v>127</v>
      </c>
      <c r="E33">
        <v>2</v>
      </c>
      <c r="F33">
        <f>75.6*(10.19+8.67)/2-(10.12*8.05+7.65*7.25)/2</f>
        <v>644.4437499999999</v>
      </c>
      <c r="G33">
        <v>0.3</v>
      </c>
      <c r="J33">
        <f>(F33*G33+H33*I33)*E33</f>
        <v>386.66624999999993</v>
      </c>
      <c r="K33" s="1">
        <f>J33*C33*0.001</f>
        <v>0.8622657374999999</v>
      </c>
      <c r="L33" s="1">
        <f t="shared" si="0"/>
        <v>0.03901653555936575</v>
      </c>
      <c r="M33" s="10">
        <f>K33</f>
        <v>0.8622657374999999</v>
      </c>
      <c r="N33" s="7"/>
    </row>
    <row r="34" spans="1:14" ht="12.75">
      <c r="A34" s="1" t="s">
        <v>55</v>
      </c>
      <c r="K34" s="1">
        <v>6.95</v>
      </c>
      <c r="L34" s="1">
        <f>0.408*7911/C1</f>
        <v>0.413625881766778</v>
      </c>
      <c r="M34" s="11">
        <v>7.756</v>
      </c>
      <c r="N34" s="7">
        <v>0.09</v>
      </c>
    </row>
    <row r="35" spans="1:14" ht="12.75">
      <c r="A35" s="1" t="s">
        <v>65</v>
      </c>
      <c r="B35" t="s">
        <v>30</v>
      </c>
      <c r="C35">
        <v>2.34</v>
      </c>
      <c r="D35">
        <v>89</v>
      </c>
      <c r="E35">
        <v>1</v>
      </c>
      <c r="J35">
        <v>0.785</v>
      </c>
      <c r="K35" s="1">
        <f>J35*C35*0.001</f>
        <v>0.0018369</v>
      </c>
      <c r="L35" s="1">
        <f>100*J35/(D35*$C$1)</f>
        <v>0.00011303054157710827</v>
      </c>
      <c r="M35" s="10">
        <f>K35</f>
        <v>0.0018369</v>
      </c>
      <c r="N35" s="7"/>
    </row>
    <row r="36" spans="1:14" ht="12.75">
      <c r="A36" s="2" t="s">
        <v>34</v>
      </c>
      <c r="K36" s="5">
        <f>K8+K24+K28+K32+K33+K34+K35</f>
        <v>24.919958000360293</v>
      </c>
      <c r="L36" s="5">
        <f>L8+L24+L28+L32+L33+L34+L35</f>
        <v>1.318502923672988</v>
      </c>
      <c r="M36" s="8">
        <f>M8+M24+M28+M32+M33+M34+M35</f>
        <v>25.4562158375</v>
      </c>
      <c r="N36" s="7"/>
    </row>
    <row r="37" spans="1:14" ht="12.75">
      <c r="A37" s="2" t="s">
        <v>57</v>
      </c>
      <c r="M37" s="12">
        <v>25.183</v>
      </c>
      <c r="N37" s="7">
        <v>0.03</v>
      </c>
    </row>
  </sheetData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zoomScale="75" zoomScaleNormal="75" workbookViewId="0" topLeftCell="A1">
      <selection activeCell="R8" sqref="R8"/>
    </sheetView>
  </sheetViews>
  <sheetFormatPr defaultColWidth="9.140625" defaultRowHeight="12.75"/>
  <cols>
    <col min="8" max="8" width="11.7109375" style="0" customWidth="1"/>
  </cols>
  <sheetData>
    <row r="2" spans="3:18" ht="12.7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73</v>
      </c>
      <c r="L2" t="s">
        <v>59</v>
      </c>
      <c r="M2" t="s">
        <v>60</v>
      </c>
      <c r="N2" t="s">
        <v>61</v>
      </c>
      <c r="O2" t="s">
        <v>62</v>
      </c>
      <c r="P2" t="s">
        <v>63</v>
      </c>
      <c r="Q2" t="s">
        <v>64</v>
      </c>
      <c r="R2" t="s">
        <v>73</v>
      </c>
    </row>
    <row r="3" spans="2:4" ht="12.75">
      <c r="B3" s="6" t="s">
        <v>58</v>
      </c>
      <c r="C3" s="5"/>
      <c r="D3" t="s">
        <v>72</v>
      </c>
    </row>
    <row r="4" spans="3:17" ht="12.75">
      <c r="C4">
        <v>371</v>
      </c>
      <c r="D4" s="7">
        <v>5.58</v>
      </c>
      <c r="E4" s="7"/>
      <c r="F4" s="7"/>
      <c r="G4" s="7"/>
      <c r="K4" s="6" t="s">
        <v>67</v>
      </c>
      <c r="L4" t="s">
        <v>68</v>
      </c>
      <c r="M4" s="7">
        <v>25.195</v>
      </c>
      <c r="N4" s="7"/>
      <c r="O4" s="7"/>
      <c r="P4" s="7"/>
      <c r="Q4" s="7"/>
    </row>
    <row r="5" spans="3:17" ht="12.75">
      <c r="C5">
        <v>413</v>
      </c>
      <c r="D5" s="7">
        <v>5.66</v>
      </c>
      <c r="E5" s="7"/>
      <c r="F5" s="7"/>
      <c r="G5" s="7"/>
      <c r="L5" t="s">
        <v>69</v>
      </c>
      <c r="M5" s="7">
        <v>25.18</v>
      </c>
      <c r="N5" s="7"/>
      <c r="O5" s="7"/>
      <c r="P5" s="7"/>
      <c r="Q5" s="7"/>
    </row>
    <row r="6" spans="3:17" ht="12.75">
      <c r="C6">
        <v>364</v>
      </c>
      <c r="D6" s="7">
        <v>5.56</v>
      </c>
      <c r="E6" s="7"/>
      <c r="F6" s="7"/>
      <c r="G6" s="7"/>
      <c r="L6" t="s">
        <v>70</v>
      </c>
      <c r="M6" s="7">
        <v>25.21</v>
      </c>
      <c r="N6" s="7"/>
      <c r="O6" s="7"/>
      <c r="P6" s="7"/>
      <c r="Q6" s="7"/>
    </row>
    <row r="7" spans="3:17" ht="12.75">
      <c r="C7">
        <v>381</v>
      </c>
      <c r="D7" s="7">
        <v>5.57</v>
      </c>
      <c r="E7" s="7"/>
      <c r="F7" s="7"/>
      <c r="G7" s="7"/>
      <c r="L7" t="s">
        <v>71</v>
      </c>
      <c r="M7" s="7">
        <v>25.145</v>
      </c>
      <c r="N7" s="7"/>
      <c r="O7" s="7"/>
      <c r="P7" s="7"/>
      <c r="Q7" s="7"/>
    </row>
    <row r="8" spans="3:17" ht="12.75">
      <c r="C8">
        <v>382</v>
      </c>
      <c r="D8" s="7">
        <v>5.585</v>
      </c>
      <c r="E8" s="7"/>
      <c r="F8" s="7"/>
      <c r="G8" s="7"/>
      <c r="M8" s="7"/>
      <c r="N8" s="7">
        <f>AVERAGE(M4:M7)</f>
        <v>25.1825</v>
      </c>
      <c r="O8" s="7">
        <f>STDEV(M4:M7)</f>
        <v>0.027838821813718866</v>
      </c>
      <c r="P8" s="9">
        <f>N8</f>
        <v>25.1825</v>
      </c>
      <c r="Q8" s="9">
        <f>0.03</f>
        <v>0.03</v>
      </c>
    </row>
    <row r="9" spans="3:7" ht="12.75">
      <c r="C9">
        <v>393</v>
      </c>
      <c r="D9" s="7">
        <v>5.425</v>
      </c>
      <c r="E9" s="7"/>
      <c r="F9" s="7"/>
      <c r="G9" s="7"/>
    </row>
    <row r="10" spans="3:7" ht="12.75">
      <c r="C10">
        <v>394</v>
      </c>
      <c r="D10" s="7">
        <v>5.645</v>
      </c>
      <c r="E10" s="7"/>
      <c r="F10" s="7"/>
      <c r="G10" s="7"/>
    </row>
    <row r="11" spans="3:7" ht="12.75">
      <c r="C11">
        <v>395</v>
      </c>
      <c r="D11" s="7">
        <v>5.625</v>
      </c>
      <c r="E11" s="7"/>
      <c r="F11" s="7"/>
      <c r="G11" s="7"/>
    </row>
    <row r="12" spans="3:7" ht="12.75">
      <c r="C12">
        <v>396</v>
      </c>
      <c r="D12" s="7">
        <v>5.63</v>
      </c>
      <c r="E12" s="7"/>
      <c r="F12" s="7"/>
      <c r="G12" s="7"/>
    </row>
    <row r="13" spans="3:7" ht="12.75">
      <c r="C13">
        <v>397</v>
      </c>
      <c r="D13" s="7">
        <v>5.62</v>
      </c>
      <c r="E13" s="7"/>
      <c r="F13" s="7"/>
      <c r="G13" s="7"/>
    </row>
    <row r="14" spans="3:7" ht="12.75">
      <c r="C14">
        <v>401</v>
      </c>
      <c r="D14" s="7">
        <v>5.61</v>
      </c>
      <c r="E14" s="7"/>
      <c r="F14" s="7"/>
      <c r="G14" s="7"/>
    </row>
    <row r="15" spans="3:7" ht="12.75">
      <c r="C15">
        <v>404</v>
      </c>
      <c r="D15" s="7">
        <v>5.585</v>
      </c>
      <c r="E15" s="7"/>
      <c r="F15" s="7"/>
      <c r="G15" s="7"/>
    </row>
    <row r="16" spans="4:9" ht="12.75">
      <c r="D16" s="7"/>
      <c r="E16" s="7">
        <f>AVERAGE(D4:D15)</f>
        <v>5.59125</v>
      </c>
      <c r="F16" s="7">
        <f>STDEV(D4:D15)</f>
        <v>0.060832295549534274</v>
      </c>
      <c r="G16" s="9">
        <f>E16</f>
        <v>5.59125</v>
      </c>
      <c r="H16" s="9">
        <f>F16/2</f>
        <v>0.030416147774767137</v>
      </c>
      <c r="I16" s="7">
        <f>MAX(D4:D15)-MIN(D4:D15)</f>
        <v>0.23500000000000032</v>
      </c>
    </row>
    <row r="19" spans="2:4" ht="12.75">
      <c r="B19" s="6" t="s">
        <v>46</v>
      </c>
      <c r="C19" s="5"/>
      <c r="D19" t="s">
        <v>66</v>
      </c>
    </row>
    <row r="21" spans="4:7" ht="12.75">
      <c r="D21" s="7">
        <v>2.58</v>
      </c>
      <c r="E21" s="7"/>
      <c r="F21" s="7"/>
      <c r="G21" s="7"/>
    </row>
    <row r="22" spans="4:7" ht="12.75">
      <c r="D22" s="7">
        <v>2.565</v>
      </c>
      <c r="E22" s="7"/>
      <c r="F22" s="7"/>
      <c r="G22" s="7"/>
    </row>
    <row r="23" spans="4:7" ht="12.75">
      <c r="D23" s="7">
        <v>2.57</v>
      </c>
      <c r="E23" s="7"/>
      <c r="F23" s="7"/>
      <c r="G23" s="7"/>
    </row>
    <row r="24" spans="4:7" ht="12.75">
      <c r="D24" s="7">
        <v>2.555</v>
      </c>
      <c r="E24" s="7"/>
      <c r="F24" s="7"/>
      <c r="G24" s="7"/>
    </row>
    <row r="25" spans="4:7" ht="12.75">
      <c r="D25" s="7">
        <v>2.56</v>
      </c>
      <c r="E25" s="7"/>
      <c r="F25" s="7"/>
      <c r="G25" s="7"/>
    </row>
    <row r="26" spans="4:7" ht="12.75">
      <c r="D26" s="7">
        <v>2.56</v>
      </c>
      <c r="E26" s="7"/>
      <c r="F26" s="7"/>
      <c r="G26" s="7"/>
    </row>
    <row r="27" spans="4:7" ht="12.75">
      <c r="D27" s="7">
        <v>2.56</v>
      </c>
      <c r="E27" s="7"/>
      <c r="F27" s="7"/>
      <c r="G27" s="7"/>
    </row>
    <row r="28" spans="4:7" ht="12.75">
      <c r="D28" s="7">
        <v>2.56</v>
      </c>
      <c r="E28" s="7"/>
      <c r="F28" s="7"/>
      <c r="G28" s="7"/>
    </row>
    <row r="29" spans="4:7" ht="12.75">
      <c r="D29" s="7">
        <v>2.56</v>
      </c>
      <c r="E29" s="7"/>
      <c r="F29" s="7"/>
      <c r="G29" s="7"/>
    </row>
    <row r="30" spans="4:8" ht="12.75">
      <c r="D30" s="7"/>
      <c r="E30" s="7">
        <f>AVERAGE(D21:D29)</f>
        <v>2.563333333333333</v>
      </c>
      <c r="F30" s="7">
        <f>STDEV(D21:D29)</f>
        <v>0.007500000000302123</v>
      </c>
      <c r="G30" s="9">
        <f>E30</f>
        <v>2.563333333333333</v>
      </c>
      <c r="H30" s="6">
        <f>0.01</f>
        <v>0.01</v>
      </c>
    </row>
    <row r="33" spans="2:4" ht="12.75">
      <c r="B33" s="6" t="s">
        <v>45</v>
      </c>
      <c r="C33" s="5"/>
      <c r="D33" t="s">
        <v>66</v>
      </c>
    </row>
    <row r="35" ht="12.75">
      <c r="D35" s="7">
        <v>2.655</v>
      </c>
    </row>
    <row r="36" ht="12.75">
      <c r="D36" s="7">
        <v>2.66</v>
      </c>
    </row>
    <row r="37" ht="12.75">
      <c r="D37" s="7">
        <v>2.675</v>
      </c>
    </row>
    <row r="38" ht="12.75">
      <c r="D38" s="7">
        <v>2.68</v>
      </c>
    </row>
    <row r="39" ht="12.75">
      <c r="D39" s="7">
        <v>2.68</v>
      </c>
    </row>
    <row r="40" ht="12.75">
      <c r="D40" s="7">
        <v>2.68</v>
      </c>
    </row>
    <row r="41" ht="12.75">
      <c r="D41" s="7">
        <v>2.66</v>
      </c>
    </row>
    <row r="42" ht="12.75">
      <c r="D42" s="7">
        <v>2.67</v>
      </c>
    </row>
    <row r="43" ht="12.75">
      <c r="D43" s="7">
        <v>2.66</v>
      </c>
    </row>
    <row r="44" spans="5:8" ht="12.75">
      <c r="E44" s="7">
        <f>AVERAGE(D35:D43)</f>
        <v>2.6688888888888886</v>
      </c>
      <c r="F44" s="7">
        <f>STDEV(D35:D43)</f>
        <v>0.0102401714395625</v>
      </c>
      <c r="G44" s="9">
        <f>E44</f>
        <v>2.6688888888888886</v>
      </c>
      <c r="H44" s="6">
        <f>0.01</f>
        <v>0.01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 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Haywood</cp:lastModifiedBy>
  <cp:lastPrinted>2004-12-02T07:43:53Z</cp:lastPrinted>
  <dcterms:created xsi:type="dcterms:W3CDTF">2002-05-24T06:55:32Z</dcterms:created>
  <dcterms:modified xsi:type="dcterms:W3CDTF">2004-12-02T07:47:12Z</dcterms:modified>
  <cp:category/>
  <cp:version/>
  <cp:contentType/>
  <cp:contentStatus/>
</cp:coreProperties>
</file>