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7400" windowHeight="3975" tabRatio="783" activeTab="6"/>
  </bookViews>
  <sheets>
    <sheet name="MatCalc1" sheetId="1" r:id="rId1"/>
    <sheet name="MatCalc2" sheetId="2" r:id="rId2"/>
    <sheet name="CompCalc" sheetId="3" r:id="rId3"/>
    <sheet name="FinalTablesDetectore" sheetId="4" r:id="rId4"/>
    <sheet name="FinalTablesSubSpine" sheetId="5" r:id="rId5"/>
    <sheet name="FinalTablesSpine" sheetId="6" r:id="rId6"/>
    <sheet name="FinalTablesHybrid" sheetId="7" r:id="rId7"/>
  </sheets>
  <definedNames/>
  <calcPr fullCalcOnLoad="1"/>
</workbook>
</file>

<file path=xl/sharedStrings.xml><?xml version="1.0" encoding="utf-8"?>
<sst xmlns="http://schemas.openxmlformats.org/spreadsheetml/2006/main" count="582" uniqueCount="113">
  <si>
    <t>Glass D263 Schott GmbH</t>
  </si>
  <si>
    <t>SiO2</t>
  </si>
  <si>
    <t>B2O3</t>
  </si>
  <si>
    <t>Al2O3</t>
  </si>
  <si>
    <t>Na2O</t>
  </si>
  <si>
    <t>K2O</t>
  </si>
  <si>
    <t>ZnO</t>
  </si>
  <si>
    <t>Sb2O3</t>
  </si>
  <si>
    <t>Material</t>
  </si>
  <si>
    <t>Part</t>
  </si>
  <si>
    <t>Main</t>
  </si>
  <si>
    <t>Oxigen</t>
  </si>
  <si>
    <t>MainPart</t>
  </si>
  <si>
    <t>OxigPart</t>
  </si>
  <si>
    <t>MainMass</t>
  </si>
  <si>
    <t>OxigMass</t>
  </si>
  <si>
    <t>TiO2</t>
  </si>
  <si>
    <t>MainVol</t>
  </si>
  <si>
    <t>OxigVol</t>
  </si>
  <si>
    <t>MainWeight</t>
  </si>
  <si>
    <t>OxigWeight</t>
  </si>
  <si>
    <t>MainAtomic</t>
  </si>
  <si>
    <t>OxigAtomic</t>
  </si>
  <si>
    <t>const:</t>
  </si>
  <si>
    <t>Electr+Phtons</t>
  </si>
  <si>
    <t>X0calc</t>
  </si>
  <si>
    <t>X0CalcO</t>
  </si>
  <si>
    <t>DensityO</t>
  </si>
  <si>
    <t>Density</t>
  </si>
  <si>
    <t>X0mm</t>
  </si>
  <si>
    <t>X0mmO</t>
  </si>
  <si>
    <t>O</t>
  </si>
  <si>
    <t>others</t>
  </si>
  <si>
    <t>1/X0mm</t>
  </si>
  <si>
    <t>OxiMass</t>
  </si>
  <si>
    <t>MainMasPart</t>
  </si>
  <si>
    <t>OxiMasPart</t>
  </si>
  <si>
    <t>GlassD263</t>
  </si>
  <si>
    <t>Kapton</t>
  </si>
  <si>
    <t>C</t>
  </si>
  <si>
    <t>H</t>
  </si>
  <si>
    <t>N</t>
  </si>
  <si>
    <t>Adhesive</t>
  </si>
  <si>
    <t>EotiteP102</t>
  </si>
  <si>
    <t>Ag</t>
  </si>
  <si>
    <t>Elastosil</t>
  </si>
  <si>
    <t>Si</t>
  </si>
  <si>
    <t>Glass D263</t>
  </si>
  <si>
    <t>GlassD263-2</t>
  </si>
  <si>
    <t>FR4</t>
  </si>
  <si>
    <t>Epoxy</t>
  </si>
  <si>
    <t>Glass</t>
  </si>
  <si>
    <t>B</t>
  </si>
  <si>
    <t>Al</t>
  </si>
  <si>
    <t>Na</t>
  </si>
  <si>
    <t>K</t>
  </si>
  <si>
    <t>Zn</t>
  </si>
  <si>
    <t>Sb</t>
  </si>
  <si>
    <t>Element</t>
  </si>
  <si>
    <t>vol %</t>
  </si>
  <si>
    <t>mass %</t>
  </si>
  <si>
    <t>Summa</t>
  </si>
  <si>
    <t>Atom mass</t>
  </si>
  <si>
    <t>Kapton (polyimid)</t>
  </si>
  <si>
    <t>EotiteP102, AIT (electrically conducting glues, epoxy + silver)</t>
  </si>
  <si>
    <t>Elastosil (silicone rubber, Si H2)</t>
  </si>
  <si>
    <t>FR4 (epoxy and glass in the ratio 44:56 by volume)</t>
  </si>
  <si>
    <t>Adhesive, screen epoxy, araldite 2011, plastic (phenol epoxies C6  H6 O)</t>
  </si>
  <si>
    <t>Sn/Pb</t>
  </si>
  <si>
    <t>Sn</t>
  </si>
  <si>
    <t>Pb</t>
  </si>
  <si>
    <t>AlN (aluminium nitride)</t>
  </si>
  <si>
    <t>Hybrid - material summary</t>
  </si>
  <si>
    <t>Cu</t>
  </si>
  <si>
    <t>CC</t>
  </si>
  <si>
    <t>AI203</t>
  </si>
  <si>
    <t>Plastic</t>
  </si>
  <si>
    <t>AIN</t>
  </si>
  <si>
    <t>AIT</t>
  </si>
  <si>
    <t>scr. Epoxy</t>
  </si>
  <si>
    <t>Weight [g]</t>
  </si>
  <si>
    <t>Hybrid - all materials</t>
  </si>
  <si>
    <t>Summary</t>
  </si>
  <si>
    <t>Carbon</t>
  </si>
  <si>
    <t>AlN</t>
  </si>
  <si>
    <t>Araldite</t>
  </si>
  <si>
    <t>Aluminium</t>
  </si>
  <si>
    <t>Spine with other materials - all materials</t>
  </si>
  <si>
    <t>Spine with other materials - material summary</t>
  </si>
  <si>
    <t>Outher</t>
  </si>
  <si>
    <t>Middle long and short</t>
  </si>
  <si>
    <t>Inner</t>
  </si>
  <si>
    <t>Outer</t>
  </si>
  <si>
    <t>Spine with other materials - summary of all materials</t>
  </si>
  <si>
    <t>Ti</t>
  </si>
  <si>
    <t>Sub-spines - material summary</t>
  </si>
  <si>
    <t>Sub-spines - all materials</t>
  </si>
  <si>
    <t>Detectors - material summary</t>
  </si>
  <si>
    <t>Detectors - all materials</t>
  </si>
  <si>
    <t>Detectors - summary of all materials</t>
  </si>
  <si>
    <t>Silicon</t>
  </si>
  <si>
    <t>Middle long</t>
  </si>
  <si>
    <t>Middle short</t>
  </si>
  <si>
    <t>AtNo.</t>
  </si>
  <si>
    <t>avrgAtom:</t>
  </si>
  <si>
    <t>vol % Material</t>
  </si>
  <si>
    <t>Molecule:</t>
  </si>
  <si>
    <t>Alternatively !!!!!!!!</t>
  </si>
  <si>
    <t>vol % Material relative</t>
  </si>
  <si>
    <t>Module</t>
  </si>
  <si>
    <t>Compoment</t>
  </si>
  <si>
    <t>Avarage atom:</t>
  </si>
  <si>
    <t>Part 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</si>
</sst>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2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J11" sqref="J11"/>
    </sheetView>
  </sheetViews>
  <sheetFormatPr defaultColWidth="9.140625" defaultRowHeight="12.75"/>
  <sheetData>
    <row r="1" spans="1:27" ht="12.75">
      <c r="A1" t="s">
        <v>0</v>
      </c>
      <c r="M1" t="s">
        <v>107</v>
      </c>
      <c r="O1" t="s">
        <v>107</v>
      </c>
      <c r="AA1" t="s">
        <v>33</v>
      </c>
    </row>
    <row r="2" spans="1:28" ht="12.7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s="1" t="s">
        <v>17</v>
      </c>
      <c r="H2" s="1" t="s">
        <v>18</v>
      </c>
      <c r="I2" s="15" t="s">
        <v>14</v>
      </c>
      <c r="J2" s="15" t="s">
        <v>15</v>
      </c>
      <c r="K2" s="3" t="s">
        <v>14</v>
      </c>
      <c r="L2" s="3" t="s">
        <v>34</v>
      </c>
      <c r="M2" s="3" t="s">
        <v>35</v>
      </c>
      <c r="N2" s="3" t="s">
        <v>36</v>
      </c>
      <c r="O2" s="1" t="s">
        <v>14</v>
      </c>
      <c r="P2" s="1" t="s">
        <v>15</v>
      </c>
      <c r="Q2" t="s">
        <v>21</v>
      </c>
      <c r="R2" t="s">
        <v>22</v>
      </c>
      <c r="S2" t="s">
        <v>19</v>
      </c>
      <c r="T2" t="s">
        <v>20</v>
      </c>
      <c r="U2" t="s">
        <v>25</v>
      </c>
      <c r="V2" t="s">
        <v>26</v>
      </c>
      <c r="W2" t="s">
        <v>28</v>
      </c>
      <c r="X2" t="s">
        <v>27</v>
      </c>
      <c r="Y2" t="s">
        <v>29</v>
      </c>
      <c r="Z2" t="s">
        <v>30</v>
      </c>
      <c r="AA2" t="s">
        <v>32</v>
      </c>
      <c r="AB2" t="s">
        <v>31</v>
      </c>
    </row>
    <row r="3" spans="1:31" ht="12.75">
      <c r="A3" s="2" t="s">
        <v>1</v>
      </c>
      <c r="B3" s="2">
        <v>64.1</v>
      </c>
      <c r="C3" s="2">
        <v>1</v>
      </c>
      <c r="D3" s="2">
        <v>2</v>
      </c>
      <c r="E3">
        <f>C3/(C3+D3)</f>
        <v>0.3333333333333333</v>
      </c>
      <c r="F3">
        <f>D3/(C3+D3)</f>
        <v>0.6666666666666666</v>
      </c>
      <c r="G3" s="1">
        <f>B3*E3</f>
        <v>21.366666666666664</v>
      </c>
      <c r="H3" s="14">
        <f>F3*B3</f>
        <v>42.73333333333333</v>
      </c>
      <c r="I3" s="3">
        <f>K3/$L$12*100</f>
        <v>26.710831787403265</v>
      </c>
      <c r="J3" s="3">
        <f>L3/$L$12*100</f>
        <v>30.43205028123477</v>
      </c>
      <c r="K3" s="3">
        <f>C3*S3*B3/100</f>
        <v>18.003125999999998</v>
      </c>
      <c r="L3" s="3">
        <f>D3*T3*B3/100</f>
        <v>20.5112308</v>
      </c>
      <c r="M3" s="4">
        <f>K3/L12</f>
        <v>0.26710831787403266</v>
      </c>
      <c r="N3" s="4">
        <f>L3/(K3+L3)</f>
        <v>0.5325606476180331</v>
      </c>
      <c r="O3" s="1">
        <f>B3*M3</f>
        <v>17.12164317572549</v>
      </c>
      <c r="P3" s="1">
        <f>B3*N3</f>
        <v>34.13713751231592</v>
      </c>
      <c r="Q3" s="2">
        <v>14</v>
      </c>
      <c r="R3" s="2">
        <v>8</v>
      </c>
      <c r="S3" s="2">
        <v>28.086</v>
      </c>
      <c r="T3" s="2">
        <v>15.9994</v>
      </c>
      <c r="U3">
        <f>$AE$4*S3/(Q3*(Q3+1)*LN($AE$5/SQRT(Q3)))</f>
        <v>22.077052607193384</v>
      </c>
      <c r="V3">
        <f>$AE$4*T3/(R3*(R3+1)*LN($AE$5/SQRT(R3)))</f>
        <v>34.45936157051221</v>
      </c>
      <c r="W3" s="2">
        <v>2.33</v>
      </c>
      <c r="X3" s="2">
        <v>1.141</v>
      </c>
      <c r="Y3">
        <f>U3/W3*10</f>
        <v>94.75129874331924</v>
      </c>
      <c r="Z3">
        <f>V3/X3*10</f>
        <v>302.01018028494485</v>
      </c>
      <c r="AA3">
        <f aca="true" t="shared" si="0" ref="AA3:AB10">G3/Y3/100</f>
        <v>0.0022550262582203594</v>
      </c>
      <c r="AB3">
        <f t="shared" si="0"/>
        <v>0.0014149633397461858</v>
      </c>
      <c r="AE3" s="1" t="s">
        <v>23</v>
      </c>
    </row>
    <row r="4" spans="1:31" ht="12.75">
      <c r="A4" s="2" t="s">
        <v>2</v>
      </c>
      <c r="B4" s="2">
        <v>8.4</v>
      </c>
      <c r="C4" s="2">
        <v>2</v>
      </c>
      <c r="D4" s="2">
        <v>3</v>
      </c>
      <c r="E4">
        <f aca="true" t="shared" si="1" ref="E4:E10">C4/(C4+D4)</f>
        <v>0.4</v>
      </c>
      <c r="F4">
        <f aca="true" t="shared" si="2" ref="F4:F10">D4/(C4+D4)</f>
        <v>0.6</v>
      </c>
      <c r="G4" s="1">
        <f aca="true" t="shared" si="3" ref="G4:G10">B4*E4</f>
        <v>3.3600000000000003</v>
      </c>
      <c r="H4" s="14">
        <f aca="true" t="shared" si="4" ref="H4:H10">F4*B4</f>
        <v>5.04</v>
      </c>
      <c r="I4" s="3">
        <f aca="true" t="shared" si="5" ref="I4:J10">K4/$L$12*100</f>
        <v>2.694476914312955</v>
      </c>
      <c r="J4" s="3">
        <f t="shared" si="5"/>
        <v>5.981963081802779</v>
      </c>
      <c r="K4" s="3">
        <f aca="true" t="shared" si="6" ref="K4:K10">C4*S4*B4/100</f>
        <v>1.8160800000000001</v>
      </c>
      <c r="L4" s="3">
        <f aca="true" t="shared" si="7" ref="L4:L10">D4*T4*B4/100</f>
        <v>4.031848800000001</v>
      </c>
      <c r="M4" s="4">
        <f aca="true" t="shared" si="8" ref="M4:M10">K4/(K4+L4)</f>
        <v>0.3105509766124375</v>
      </c>
      <c r="N4" s="4">
        <f aca="true" t="shared" si="9" ref="N4:N10">L4/(K4+L4)</f>
        <v>0.6894490233875624</v>
      </c>
      <c r="O4" s="1">
        <f aca="true" t="shared" si="10" ref="O4:O10">B4*M4</f>
        <v>2.6086282035444754</v>
      </c>
      <c r="P4" s="1">
        <f aca="true" t="shared" si="11" ref="P4:P10">B4*N4</f>
        <v>5.7913717964555245</v>
      </c>
      <c r="Q4" s="2">
        <v>5</v>
      </c>
      <c r="R4" s="2">
        <v>8</v>
      </c>
      <c r="S4" s="2">
        <v>10.81</v>
      </c>
      <c r="T4" s="2">
        <v>15.9994</v>
      </c>
      <c r="U4">
        <f aca="true" t="shared" si="12" ref="U4:U10">$AE$4*S4/(Q4*(Q4+1)*LN($AE$5/SQRT(Q4)))</f>
        <v>53.1730974713529</v>
      </c>
      <c r="V4">
        <f aca="true" t="shared" si="13" ref="V4:V10">$AE$4*T4/(R4*(R4+1)*LN($AE$5/SQRT(R4)))</f>
        <v>34.45936157051221</v>
      </c>
      <c r="W4" s="2">
        <v>2.3702204228520016</v>
      </c>
      <c r="X4" s="2">
        <v>1.141</v>
      </c>
      <c r="Y4">
        <f aca="true" t="shared" si="14" ref="Y4:Z10">U4/W4*10</f>
        <v>224.3381963917584</v>
      </c>
      <c r="Z4">
        <f t="shared" si="14"/>
        <v>302.01018028494485</v>
      </c>
      <c r="AA4">
        <f t="shared" si="0"/>
        <v>0.00014977387061329865</v>
      </c>
      <c r="AB4">
        <f t="shared" si="0"/>
        <v>0.00016688179170797453</v>
      </c>
      <c r="AE4" s="1">
        <v>716.4</v>
      </c>
    </row>
    <row r="5" spans="1:31" ht="12.75">
      <c r="A5" s="2" t="s">
        <v>3</v>
      </c>
      <c r="B5" s="2">
        <v>4.2</v>
      </c>
      <c r="C5" s="2">
        <v>2</v>
      </c>
      <c r="D5" s="2">
        <v>3</v>
      </c>
      <c r="E5">
        <f t="shared" si="1"/>
        <v>0.4</v>
      </c>
      <c r="F5">
        <f t="shared" si="2"/>
        <v>0.6</v>
      </c>
      <c r="G5" s="1">
        <f t="shared" si="3"/>
        <v>1.6800000000000002</v>
      </c>
      <c r="H5" s="14">
        <f t="shared" si="4"/>
        <v>2.52</v>
      </c>
      <c r="I5" s="3">
        <f t="shared" si="5"/>
        <v>3.362612471095182</v>
      </c>
      <c r="J5" s="3">
        <f t="shared" si="5"/>
        <v>2.9909815409013896</v>
      </c>
      <c r="K5" s="3">
        <f t="shared" si="6"/>
        <v>2.266404</v>
      </c>
      <c r="L5" s="3">
        <f t="shared" si="7"/>
        <v>2.0159244000000003</v>
      </c>
      <c r="M5" s="4">
        <f t="shared" si="8"/>
        <v>0.5292457252928102</v>
      </c>
      <c r="N5" s="4">
        <f t="shared" si="9"/>
        <v>0.47075427470718967</v>
      </c>
      <c r="O5" s="1">
        <f t="shared" si="10"/>
        <v>2.222832046229803</v>
      </c>
      <c r="P5" s="1">
        <f t="shared" si="11"/>
        <v>1.9771679537701967</v>
      </c>
      <c r="Q5" s="2">
        <v>13</v>
      </c>
      <c r="R5" s="2">
        <v>8</v>
      </c>
      <c r="S5" s="2">
        <v>26.981</v>
      </c>
      <c r="T5" s="2">
        <v>15.9994</v>
      </c>
      <c r="U5">
        <f t="shared" si="12"/>
        <v>24.26414187539284</v>
      </c>
      <c r="V5">
        <f t="shared" si="13"/>
        <v>34.45936157051221</v>
      </c>
      <c r="W5" s="2">
        <v>2.7</v>
      </c>
      <c r="X5" s="2">
        <v>1.141</v>
      </c>
      <c r="Y5">
        <f t="shared" si="14"/>
        <v>89.8671921310846</v>
      </c>
      <c r="Z5">
        <f t="shared" si="14"/>
        <v>302.01018028494485</v>
      </c>
      <c r="AA5">
        <f t="shared" si="0"/>
        <v>0.00018694252709592526</v>
      </c>
      <c r="AB5">
        <f t="shared" si="0"/>
        <v>8.344089585398727E-05</v>
      </c>
      <c r="AE5" s="1">
        <v>287</v>
      </c>
    </row>
    <row r="6" spans="1:31" ht="12.75">
      <c r="A6" s="2" t="s">
        <v>4</v>
      </c>
      <c r="B6" s="2">
        <v>6.4</v>
      </c>
      <c r="C6" s="2">
        <v>2</v>
      </c>
      <c r="D6" s="2">
        <v>1</v>
      </c>
      <c r="E6">
        <f t="shared" si="1"/>
        <v>0.6666666666666666</v>
      </c>
      <c r="F6">
        <f t="shared" si="2"/>
        <v>0.3333333333333333</v>
      </c>
      <c r="G6" s="1">
        <f t="shared" si="3"/>
        <v>4.266666666666667</v>
      </c>
      <c r="H6" s="14">
        <f t="shared" si="4"/>
        <v>2.1333333333333333</v>
      </c>
      <c r="I6" s="3">
        <f t="shared" si="5"/>
        <v>4.365857347827181</v>
      </c>
      <c r="J6" s="3">
        <f t="shared" si="5"/>
        <v>1.5192287191880074</v>
      </c>
      <c r="K6" s="3">
        <f t="shared" si="6"/>
        <v>2.9425920000000003</v>
      </c>
      <c r="L6" s="3">
        <f t="shared" si="7"/>
        <v>1.0239616</v>
      </c>
      <c r="M6" s="4">
        <f t="shared" si="8"/>
        <v>0.7418510618386703</v>
      </c>
      <c r="N6" s="4">
        <f t="shared" si="9"/>
        <v>0.2581489381613298</v>
      </c>
      <c r="O6" s="1">
        <f t="shared" si="10"/>
        <v>4.74784679576749</v>
      </c>
      <c r="P6" s="1">
        <f t="shared" si="11"/>
        <v>1.6521532042325107</v>
      </c>
      <c r="Q6" s="2">
        <v>11</v>
      </c>
      <c r="R6" s="2">
        <v>8</v>
      </c>
      <c r="S6" s="2">
        <v>22.989</v>
      </c>
      <c r="T6" s="2">
        <v>15.9994</v>
      </c>
      <c r="U6">
        <f t="shared" si="12"/>
        <v>27.971439411004912</v>
      </c>
      <c r="V6">
        <f t="shared" si="13"/>
        <v>34.45936157051221</v>
      </c>
      <c r="W6" s="2">
        <v>0.9712885154061625</v>
      </c>
      <c r="X6" s="2">
        <v>1.141</v>
      </c>
      <c r="Y6">
        <f t="shared" si="14"/>
        <v>287.98280806715945</v>
      </c>
      <c r="Z6">
        <f t="shared" si="14"/>
        <v>302.01018028494485</v>
      </c>
      <c r="AA6">
        <f t="shared" si="0"/>
        <v>0.00014815699226294272</v>
      </c>
      <c r="AB6">
        <f t="shared" si="0"/>
        <v>7.06377954319469E-05</v>
      </c>
      <c r="AE6" s="1" t="s">
        <v>24</v>
      </c>
    </row>
    <row r="7" spans="1:31" ht="12.75">
      <c r="A7" s="2" t="s">
        <v>5</v>
      </c>
      <c r="B7" s="2">
        <v>6.9</v>
      </c>
      <c r="C7" s="2">
        <v>2</v>
      </c>
      <c r="D7" s="2">
        <v>1</v>
      </c>
      <c r="E7">
        <f t="shared" si="1"/>
        <v>0.6666666666666666</v>
      </c>
      <c r="F7">
        <f t="shared" si="2"/>
        <v>0.3333333333333333</v>
      </c>
      <c r="G7" s="1">
        <f t="shared" si="3"/>
        <v>4.6</v>
      </c>
      <c r="H7" s="14">
        <f t="shared" si="4"/>
        <v>2.3</v>
      </c>
      <c r="I7" s="3">
        <f t="shared" si="5"/>
        <v>8.005217203328868</v>
      </c>
      <c r="J7" s="3">
        <f t="shared" si="5"/>
        <v>1.6379184628745702</v>
      </c>
      <c r="K7" s="3">
        <f t="shared" si="6"/>
        <v>5.395524</v>
      </c>
      <c r="L7" s="3">
        <f t="shared" si="7"/>
        <v>1.1039586</v>
      </c>
      <c r="M7" s="4">
        <f t="shared" si="8"/>
        <v>0.8301466950615423</v>
      </c>
      <c r="N7" s="4">
        <f t="shared" si="9"/>
        <v>0.16985330493845768</v>
      </c>
      <c r="O7" s="1">
        <f t="shared" si="10"/>
        <v>5.7280121959246415</v>
      </c>
      <c r="P7" s="1">
        <f t="shared" si="11"/>
        <v>1.171987804075358</v>
      </c>
      <c r="Q7" s="2">
        <v>19</v>
      </c>
      <c r="R7" s="2">
        <v>8</v>
      </c>
      <c r="S7" s="2">
        <v>39.098</v>
      </c>
      <c r="T7" s="2">
        <v>15.9994</v>
      </c>
      <c r="U7">
        <f t="shared" si="12"/>
        <v>17.603390034872906</v>
      </c>
      <c r="V7">
        <f t="shared" si="13"/>
        <v>34.45936157051221</v>
      </c>
      <c r="W7" s="2">
        <v>0.8621204579392733</v>
      </c>
      <c r="X7" s="2">
        <v>1.141</v>
      </c>
      <c r="Y7">
        <f t="shared" si="14"/>
        <v>204.18712806039068</v>
      </c>
      <c r="Z7">
        <f t="shared" si="14"/>
        <v>302.01018028494485</v>
      </c>
      <c r="AA7">
        <f t="shared" si="0"/>
        <v>0.00022528354474134614</v>
      </c>
      <c r="AB7">
        <f t="shared" si="0"/>
        <v>7.615637320006774E-05</v>
      </c>
      <c r="AE7" s="1"/>
    </row>
    <row r="8" spans="1:28" ht="12.75">
      <c r="A8" s="2" t="s">
        <v>6</v>
      </c>
      <c r="B8" s="2">
        <v>5.9</v>
      </c>
      <c r="C8" s="2">
        <v>1</v>
      </c>
      <c r="D8" s="2">
        <v>1</v>
      </c>
      <c r="E8">
        <f t="shared" si="1"/>
        <v>0.5</v>
      </c>
      <c r="F8">
        <f t="shared" si="2"/>
        <v>0.5</v>
      </c>
      <c r="G8" s="1">
        <f>B8*E8</f>
        <v>2.95</v>
      </c>
      <c r="H8" s="14">
        <f t="shared" si="4"/>
        <v>2.95</v>
      </c>
      <c r="I8" s="3">
        <f t="shared" si="5"/>
        <v>5.724042377091607</v>
      </c>
      <c r="J8" s="3">
        <f t="shared" si="5"/>
        <v>1.4005389755014441</v>
      </c>
      <c r="K8" s="3">
        <f t="shared" si="6"/>
        <v>3.8580100000000006</v>
      </c>
      <c r="L8" s="3">
        <f t="shared" si="7"/>
        <v>0.9439646</v>
      </c>
      <c r="M8" s="4">
        <f t="shared" si="8"/>
        <v>0.8034215757825959</v>
      </c>
      <c r="N8" s="4">
        <f t="shared" si="9"/>
        <v>0.19657842421740424</v>
      </c>
      <c r="O8" s="1">
        <f t="shared" si="10"/>
        <v>4.740187297117316</v>
      </c>
      <c r="P8" s="1">
        <f t="shared" si="11"/>
        <v>1.159812702882685</v>
      </c>
      <c r="Q8" s="2">
        <v>30</v>
      </c>
      <c r="R8" s="2">
        <v>8</v>
      </c>
      <c r="S8" s="2">
        <v>65.39</v>
      </c>
      <c r="T8" s="2">
        <v>15.9994</v>
      </c>
      <c r="U8">
        <f t="shared" si="12"/>
        <v>12.723636154285767</v>
      </c>
      <c r="V8">
        <f t="shared" si="13"/>
        <v>34.45936157051221</v>
      </c>
      <c r="W8" s="2">
        <v>7.14367816091954</v>
      </c>
      <c r="X8" s="2">
        <v>1.141</v>
      </c>
      <c r="Y8">
        <f t="shared" si="14"/>
        <v>17.811043369635748</v>
      </c>
      <c r="Z8">
        <f t="shared" si="14"/>
        <v>302.01018028494485</v>
      </c>
      <c r="AA8">
        <f t="shared" si="0"/>
        <v>0.0016562757940554779</v>
      </c>
      <c r="AB8">
        <f t="shared" si="0"/>
        <v>9.767882649573906E-05</v>
      </c>
    </row>
    <row r="9" spans="1:28" ht="12.75">
      <c r="A9" s="2" t="s">
        <v>16</v>
      </c>
      <c r="B9" s="2">
        <v>4</v>
      </c>
      <c r="C9" s="2">
        <v>1</v>
      </c>
      <c r="D9" s="2">
        <v>2</v>
      </c>
      <c r="E9">
        <f t="shared" si="1"/>
        <v>0.3333333333333333</v>
      </c>
      <c r="F9">
        <f t="shared" si="2"/>
        <v>0.6666666666666666</v>
      </c>
      <c r="G9" s="1">
        <f t="shared" si="3"/>
        <v>1.3333333333333333</v>
      </c>
      <c r="H9" s="14">
        <f t="shared" si="4"/>
        <v>2.6666666666666665</v>
      </c>
      <c r="I9" s="3">
        <f t="shared" si="5"/>
        <v>2.842725963516817</v>
      </c>
      <c r="J9" s="3">
        <f t="shared" si="5"/>
        <v>1.899035898985009</v>
      </c>
      <c r="K9" s="3">
        <f t="shared" si="6"/>
        <v>1.916</v>
      </c>
      <c r="L9" s="3">
        <f t="shared" si="7"/>
        <v>1.279952</v>
      </c>
      <c r="M9" s="4">
        <f t="shared" si="8"/>
        <v>0.5995083780982943</v>
      </c>
      <c r="N9" s="4">
        <f t="shared" si="9"/>
        <v>0.4004916219017056</v>
      </c>
      <c r="O9" s="1">
        <f t="shared" si="10"/>
        <v>2.398033512393177</v>
      </c>
      <c r="P9" s="1">
        <f t="shared" si="11"/>
        <v>1.6019664876068225</v>
      </c>
      <c r="Q9" s="2">
        <v>22</v>
      </c>
      <c r="R9" s="2">
        <v>8</v>
      </c>
      <c r="S9" s="2">
        <v>47.9</v>
      </c>
      <c r="T9" s="2">
        <v>15.9994</v>
      </c>
      <c r="U9">
        <f t="shared" si="12"/>
        <v>16.484675579804826</v>
      </c>
      <c r="V9">
        <f t="shared" si="13"/>
        <v>34.45936157051221</v>
      </c>
      <c r="W9" s="2">
        <v>4.508</v>
      </c>
      <c r="X9" s="2">
        <v>1.141</v>
      </c>
      <c r="Y9">
        <f t="shared" si="14"/>
        <v>36.56760332698497</v>
      </c>
      <c r="Z9">
        <f t="shared" si="14"/>
        <v>302.01018028494485</v>
      </c>
      <c r="AA9">
        <f t="shared" si="0"/>
        <v>0.00036462147147319423</v>
      </c>
      <c r="AB9">
        <f t="shared" si="0"/>
        <v>8.82972442899336E-05</v>
      </c>
    </row>
    <row r="10" spans="1:28" ht="12.75">
      <c r="A10" s="2" t="s">
        <v>7</v>
      </c>
      <c r="B10" s="2">
        <v>0.1</v>
      </c>
      <c r="C10" s="2">
        <v>2</v>
      </c>
      <c r="D10" s="2">
        <v>3</v>
      </c>
      <c r="E10">
        <f t="shared" si="1"/>
        <v>0.4</v>
      </c>
      <c r="F10">
        <f t="shared" si="2"/>
        <v>0.6</v>
      </c>
      <c r="G10" s="1">
        <f t="shared" si="3"/>
        <v>0.04000000000000001</v>
      </c>
      <c r="H10" s="14">
        <f t="shared" si="4"/>
        <v>0.06</v>
      </c>
      <c r="I10" s="3">
        <f t="shared" si="5"/>
        <v>0.3613051287242252</v>
      </c>
      <c r="J10" s="3">
        <f t="shared" si="5"/>
        <v>0.07121384621193784</v>
      </c>
      <c r="K10" s="3">
        <f t="shared" si="6"/>
        <v>0.24352000000000004</v>
      </c>
      <c r="L10" s="3">
        <f t="shared" si="7"/>
        <v>0.047998200000000005</v>
      </c>
      <c r="M10" s="4">
        <f t="shared" si="8"/>
        <v>0.8353509317771584</v>
      </c>
      <c r="N10" s="4">
        <f t="shared" si="9"/>
        <v>0.16464906822284164</v>
      </c>
      <c r="O10" s="1">
        <f t="shared" si="10"/>
        <v>0.08353509317771585</v>
      </c>
      <c r="P10" s="1">
        <f t="shared" si="11"/>
        <v>0.016464906822284166</v>
      </c>
      <c r="Q10" s="2">
        <v>51</v>
      </c>
      <c r="R10" s="2">
        <v>8</v>
      </c>
      <c r="S10" s="2">
        <v>121.76</v>
      </c>
      <c r="T10" s="2">
        <v>15.9994</v>
      </c>
      <c r="U10">
        <f t="shared" si="12"/>
        <v>8.905133476618321</v>
      </c>
      <c r="V10">
        <f t="shared" si="13"/>
        <v>34.45936157051221</v>
      </c>
      <c r="W10" s="2">
        <v>6.697</v>
      </c>
      <c r="X10" s="2">
        <v>1.141</v>
      </c>
      <c r="Y10">
        <f t="shared" si="14"/>
        <v>13.297197964190415</v>
      </c>
      <c r="Z10">
        <f t="shared" si="14"/>
        <v>302.01018028494485</v>
      </c>
      <c r="AA10">
        <f t="shared" si="0"/>
        <v>3.008152552719806E-05</v>
      </c>
      <c r="AB10">
        <f t="shared" si="0"/>
        <v>1.9866879965235062E-06</v>
      </c>
    </row>
    <row r="11" spans="1:28" ht="12.75">
      <c r="A11" t="s">
        <v>37</v>
      </c>
      <c r="G11" s="1">
        <f aca="true" t="shared" si="15" ref="G11:P11">SUM(G3:G10)</f>
        <v>39.596666666666664</v>
      </c>
      <c r="H11" s="14">
        <f t="shared" si="15"/>
        <v>60.40333333333333</v>
      </c>
      <c r="I11" s="3">
        <f t="shared" si="15"/>
        <v>54.0670691933001</v>
      </c>
      <c r="J11" s="3">
        <f t="shared" si="15"/>
        <v>45.932930806699915</v>
      </c>
      <c r="K11" s="3">
        <f t="shared" si="15"/>
        <v>36.441255999999996</v>
      </c>
      <c r="L11" s="3">
        <f t="shared" si="15"/>
        <v>30.958838999999998</v>
      </c>
      <c r="M11" s="3">
        <f t="shared" si="15"/>
        <v>4.917183662337542</v>
      </c>
      <c r="N11" s="3">
        <f t="shared" si="15"/>
        <v>2.8824853031545246</v>
      </c>
      <c r="O11" s="1">
        <f t="shared" si="15"/>
        <v>39.65071831988011</v>
      </c>
      <c r="P11" s="1">
        <f t="shared" si="15"/>
        <v>47.5080623681613</v>
      </c>
      <c r="U11" t="str">
        <f>A11</f>
        <v>GlassD263</v>
      </c>
      <c r="V11" s="5">
        <f>W11*Z11/10</f>
        <v>35.77432560658265</v>
      </c>
      <c r="W11" s="6">
        <v>2.51</v>
      </c>
      <c r="Y11" t="str">
        <f>U11</f>
        <v>GlassD263</v>
      </c>
      <c r="Z11" s="5">
        <f>1/AB11</f>
        <v>142.5271936517237</v>
      </c>
      <c r="AA11" t="str">
        <f>U11</f>
        <v>GlassD263</v>
      </c>
      <c r="AB11">
        <f>SUM(AA3:AB10)</f>
        <v>0.007016204938712102</v>
      </c>
    </row>
    <row r="12" spans="12:21" ht="12.75">
      <c r="L12" s="3">
        <f>K11+L11</f>
        <v>67.400095</v>
      </c>
      <c r="U12" s="3"/>
    </row>
    <row r="13" ht="12.75">
      <c r="U13" s="3"/>
    </row>
    <row r="14" spans="1:27" ht="15.75">
      <c r="A14" s="7" t="s">
        <v>38</v>
      </c>
      <c r="AA14" t="s">
        <v>33</v>
      </c>
    </row>
    <row r="15" spans="1:28" ht="12.7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13</v>
      </c>
      <c r="G15" s="1" t="s">
        <v>17</v>
      </c>
      <c r="H15" s="1"/>
      <c r="I15" s="8"/>
      <c r="J15" s="8"/>
      <c r="K15" s="3" t="s">
        <v>14</v>
      </c>
      <c r="L15" s="3"/>
      <c r="M15" s="3"/>
      <c r="N15" s="3"/>
      <c r="O15" s="1" t="s">
        <v>14</v>
      </c>
      <c r="P15" s="1"/>
      <c r="Q15" t="s">
        <v>21</v>
      </c>
      <c r="R15" t="s">
        <v>22</v>
      </c>
      <c r="S15" t="s">
        <v>19</v>
      </c>
      <c r="T15" t="s">
        <v>20</v>
      </c>
      <c r="U15" t="s">
        <v>25</v>
      </c>
      <c r="V15" t="s">
        <v>26</v>
      </c>
      <c r="W15" t="s">
        <v>28</v>
      </c>
      <c r="X15" t="s">
        <v>27</v>
      </c>
      <c r="Y15" t="s">
        <v>29</v>
      </c>
      <c r="Z15" t="s">
        <v>30</v>
      </c>
      <c r="AA15" t="s">
        <v>32</v>
      </c>
      <c r="AB15" t="s">
        <v>31</v>
      </c>
    </row>
    <row r="16" spans="1:31" ht="12.75">
      <c r="A16" s="2" t="s">
        <v>39</v>
      </c>
      <c r="B16" s="2">
        <f>C16/SUM($C$16:$C$19)*100</f>
        <v>56.41025641025641</v>
      </c>
      <c r="C16" s="2">
        <v>22</v>
      </c>
      <c r="D16" s="2"/>
      <c r="E16">
        <f>C16/(C16+D16)</f>
        <v>1</v>
      </c>
      <c r="F16">
        <f>D16/(C16+D16)</f>
        <v>0</v>
      </c>
      <c r="G16" s="1">
        <f>B16*E16</f>
        <v>56.41025641025641</v>
      </c>
      <c r="H16" s="1"/>
      <c r="I16" s="8"/>
      <c r="J16" s="8"/>
      <c r="K16" s="3">
        <f>C16*S16</f>
        <v>264.24199999999996</v>
      </c>
      <c r="L16" s="3"/>
      <c r="M16" s="4"/>
      <c r="N16" s="4"/>
      <c r="O16" s="1">
        <f>K16/$K$24*100</f>
        <v>69.11333989308751</v>
      </c>
      <c r="P16" s="1"/>
      <c r="Q16" s="2">
        <v>6</v>
      </c>
      <c r="R16" s="2"/>
      <c r="S16" s="2">
        <v>12.011</v>
      </c>
      <c r="T16" s="2"/>
      <c r="U16">
        <f>$AE$4*S16/(Q16*(Q16+1)*LN($AE$5/SQRT(Q16)))</f>
        <v>43.00806871858734</v>
      </c>
      <c r="V16" t="e">
        <f>$AE$4*T16/(R16*(R16+1)*LN($AE$5/SQRT(R16)))</f>
        <v>#DIV/0!</v>
      </c>
      <c r="W16" s="2">
        <v>2.266</v>
      </c>
      <c r="X16" s="2"/>
      <c r="Y16" s="2">
        <v>188</v>
      </c>
      <c r="Z16" t="e">
        <f>V16/X16*10</f>
        <v>#DIV/0!</v>
      </c>
      <c r="AA16">
        <f>G16/Y16/100</f>
        <v>0.003000545553737043</v>
      </c>
      <c r="AE16" s="1" t="s">
        <v>23</v>
      </c>
    </row>
    <row r="17" spans="1:31" ht="12.75">
      <c r="A17" s="2" t="s">
        <v>40</v>
      </c>
      <c r="B17" s="2">
        <f>C17/SUM($C$16:$C$19)*100</f>
        <v>25.64102564102564</v>
      </c>
      <c r="C17" s="2">
        <v>10</v>
      </c>
      <c r="D17" s="2"/>
      <c r="E17">
        <f aca="true" t="shared" si="16" ref="E17:E23">C17/(C17+D17)</f>
        <v>1</v>
      </c>
      <c r="F17">
        <f aca="true" t="shared" si="17" ref="F17:F23">D17/(C17+D17)</f>
        <v>0</v>
      </c>
      <c r="G17" s="1">
        <f aca="true" t="shared" si="18" ref="G17:G23">B17*E17</f>
        <v>25.64102564102564</v>
      </c>
      <c r="H17" s="1"/>
      <c r="I17" s="8"/>
      <c r="J17" s="8"/>
      <c r="K17" s="3">
        <f aca="true" t="shared" si="19" ref="K17:K23">C17*S17</f>
        <v>10.079</v>
      </c>
      <c r="L17" s="3"/>
      <c r="M17" s="4"/>
      <c r="N17" s="4"/>
      <c r="O17" s="1">
        <f aca="true" t="shared" si="20" ref="O17:O23">K17/$K$24*100</f>
        <v>2.6361946729983465</v>
      </c>
      <c r="P17" s="1"/>
      <c r="Q17" s="2">
        <v>1</v>
      </c>
      <c r="R17" s="2"/>
      <c r="S17" s="2">
        <v>1.0079</v>
      </c>
      <c r="T17" s="2"/>
      <c r="U17">
        <f aca="true" t="shared" si="21" ref="U17:U23">$AE$4*S17/(Q17*(Q17+1)*LN($AE$5/SQRT(Q17)))</f>
        <v>63.79201598949494</v>
      </c>
      <c r="V17" t="e">
        <f aca="true" t="shared" si="22" ref="V17:V23">$AE$4*T17/(R17*(R17+1)*LN($AE$5/SQRT(R17)))</f>
        <v>#DIV/0!</v>
      </c>
      <c r="W17" s="2">
        <v>0.0708</v>
      </c>
      <c r="X17" s="2"/>
      <c r="Y17" s="2">
        <v>8650</v>
      </c>
      <c r="Z17" t="e">
        <f aca="true" t="shared" si="23" ref="Z17:Z23">V17/X17*10</f>
        <v>#DIV/0!</v>
      </c>
      <c r="AA17">
        <f>G17/Y17/100</f>
        <v>2.9642804209278197E-05</v>
      </c>
      <c r="AE17" s="1">
        <v>716.4</v>
      </c>
    </row>
    <row r="18" spans="1:31" ht="12.75">
      <c r="A18" s="2" t="s">
        <v>41</v>
      </c>
      <c r="B18" s="2">
        <f>C18/SUM($C$16:$C$19)*100</f>
        <v>5.128205128205128</v>
      </c>
      <c r="C18" s="2">
        <v>2</v>
      </c>
      <c r="D18" s="2"/>
      <c r="E18">
        <f t="shared" si="16"/>
        <v>1</v>
      </c>
      <c r="F18">
        <f t="shared" si="17"/>
        <v>0</v>
      </c>
      <c r="G18" s="1">
        <f t="shared" si="18"/>
        <v>5.128205128205128</v>
      </c>
      <c r="H18" s="1"/>
      <c r="I18" s="8"/>
      <c r="J18" s="8"/>
      <c r="K18" s="3">
        <f t="shared" si="19"/>
        <v>28.0134</v>
      </c>
      <c r="L18" s="3"/>
      <c r="M18" s="4"/>
      <c r="N18" s="4"/>
      <c r="O18" s="1">
        <f t="shared" si="20"/>
        <v>7.326994330049795</v>
      </c>
      <c r="P18" s="1"/>
      <c r="Q18" s="2">
        <v>7</v>
      </c>
      <c r="R18" s="2"/>
      <c r="S18" s="2">
        <v>14.0067</v>
      </c>
      <c r="T18" s="2"/>
      <c r="U18">
        <f t="shared" si="21"/>
        <v>38.234220509764064</v>
      </c>
      <c r="V18" t="e">
        <f t="shared" si="22"/>
        <v>#DIV/0!</v>
      </c>
      <c r="W18" s="2">
        <v>0.808</v>
      </c>
      <c r="X18" s="2"/>
      <c r="Y18" s="2">
        <v>445</v>
      </c>
      <c r="Z18" t="e">
        <f t="shared" si="23"/>
        <v>#DIV/0!</v>
      </c>
      <c r="AA18">
        <f>G18/Y18/100</f>
        <v>0.00011524056467876692</v>
      </c>
      <c r="AE18" s="1">
        <v>287</v>
      </c>
    </row>
    <row r="19" spans="1:31" ht="12.75">
      <c r="A19" s="2" t="s">
        <v>31</v>
      </c>
      <c r="B19" s="2">
        <f>C19/SUM($C$16:$C$19)*100</f>
        <v>12.82051282051282</v>
      </c>
      <c r="C19" s="2">
        <v>5</v>
      </c>
      <c r="D19" s="2"/>
      <c r="E19">
        <f t="shared" si="16"/>
        <v>1</v>
      </c>
      <c r="F19">
        <f t="shared" si="17"/>
        <v>0</v>
      </c>
      <c r="G19" s="1">
        <f t="shared" si="18"/>
        <v>12.82051282051282</v>
      </c>
      <c r="H19" s="1"/>
      <c r="I19" s="8"/>
      <c r="J19" s="8"/>
      <c r="K19" s="3">
        <f t="shared" si="19"/>
        <v>79.997</v>
      </c>
      <c r="L19" s="3"/>
      <c r="M19" s="4"/>
      <c r="N19" s="4"/>
      <c r="O19" s="1">
        <f t="shared" si="20"/>
        <v>20.923471103864344</v>
      </c>
      <c r="P19" s="1"/>
      <c r="Q19" s="2">
        <v>8</v>
      </c>
      <c r="R19" s="2"/>
      <c r="S19" s="2">
        <v>15.9994</v>
      </c>
      <c r="T19" s="2"/>
      <c r="U19">
        <f t="shared" si="21"/>
        <v>34.45936157051221</v>
      </c>
      <c r="V19" t="e">
        <f t="shared" si="22"/>
        <v>#DIV/0!</v>
      </c>
      <c r="W19" s="2">
        <v>1.141</v>
      </c>
      <c r="X19" s="2"/>
      <c r="Y19" s="2">
        <v>287</v>
      </c>
      <c r="Z19" t="e">
        <f t="shared" si="23"/>
        <v>#DIV/0!</v>
      </c>
      <c r="AA19">
        <f>G19/Y19/100</f>
        <v>0.00044670776378093446</v>
      </c>
      <c r="AE19" s="1" t="s">
        <v>24</v>
      </c>
    </row>
    <row r="20" spans="1:31" ht="12.75">
      <c r="A20" s="2"/>
      <c r="B20" s="2"/>
      <c r="C20" s="2"/>
      <c r="D20" s="2"/>
      <c r="E20" t="e">
        <f t="shared" si="16"/>
        <v>#DIV/0!</v>
      </c>
      <c r="F20" t="e">
        <f t="shared" si="17"/>
        <v>#DIV/0!</v>
      </c>
      <c r="G20" s="1" t="e">
        <f t="shared" si="18"/>
        <v>#DIV/0!</v>
      </c>
      <c r="H20" s="1"/>
      <c r="I20" s="8"/>
      <c r="J20" s="8"/>
      <c r="K20" s="3">
        <f t="shared" si="19"/>
        <v>0</v>
      </c>
      <c r="L20" s="3"/>
      <c r="M20" s="4"/>
      <c r="N20" s="4"/>
      <c r="O20" s="1">
        <f t="shared" si="20"/>
        <v>0</v>
      </c>
      <c r="P20" s="1"/>
      <c r="Q20" s="2"/>
      <c r="R20" s="2"/>
      <c r="S20" s="2"/>
      <c r="T20" s="2"/>
      <c r="U20" t="e">
        <f t="shared" si="21"/>
        <v>#DIV/0!</v>
      </c>
      <c r="V20" t="e">
        <f t="shared" si="22"/>
        <v>#DIV/0!</v>
      </c>
      <c r="W20" s="2"/>
      <c r="X20" s="2"/>
      <c r="Y20" t="e">
        <f>U20/W20*10</f>
        <v>#DIV/0!</v>
      </c>
      <c r="Z20" t="e">
        <f t="shared" si="23"/>
        <v>#DIV/0!</v>
      </c>
      <c r="AE20" s="1"/>
    </row>
    <row r="21" spans="1:26" ht="12.75">
      <c r="A21" s="2"/>
      <c r="B21" s="2"/>
      <c r="C21" s="2"/>
      <c r="D21" s="2"/>
      <c r="E21" t="e">
        <f t="shared" si="16"/>
        <v>#DIV/0!</v>
      </c>
      <c r="F21" t="e">
        <f t="shared" si="17"/>
        <v>#DIV/0!</v>
      </c>
      <c r="G21" s="1" t="e">
        <f t="shared" si="18"/>
        <v>#DIV/0!</v>
      </c>
      <c r="H21" s="1"/>
      <c r="I21" s="8"/>
      <c r="J21" s="8"/>
      <c r="K21" s="3">
        <f t="shared" si="19"/>
        <v>0</v>
      </c>
      <c r="L21" s="3"/>
      <c r="M21" s="4"/>
      <c r="N21" s="4"/>
      <c r="O21" s="1">
        <f t="shared" si="20"/>
        <v>0</v>
      </c>
      <c r="P21" s="1"/>
      <c r="Q21" s="2"/>
      <c r="R21" s="2"/>
      <c r="S21" s="2"/>
      <c r="T21" s="2"/>
      <c r="U21" t="e">
        <f t="shared" si="21"/>
        <v>#DIV/0!</v>
      </c>
      <c r="V21" t="e">
        <f t="shared" si="22"/>
        <v>#DIV/0!</v>
      </c>
      <c r="W21" s="2"/>
      <c r="X21" s="2"/>
      <c r="Y21" t="e">
        <f>U21/W21*10</f>
        <v>#DIV/0!</v>
      </c>
      <c r="Z21" t="e">
        <f t="shared" si="23"/>
        <v>#DIV/0!</v>
      </c>
    </row>
    <row r="22" spans="1:26" ht="12.75">
      <c r="A22" s="2"/>
      <c r="B22" s="2"/>
      <c r="C22" s="2"/>
      <c r="D22" s="2"/>
      <c r="E22" t="e">
        <f t="shared" si="16"/>
        <v>#DIV/0!</v>
      </c>
      <c r="F22" t="e">
        <f t="shared" si="17"/>
        <v>#DIV/0!</v>
      </c>
      <c r="G22" s="1" t="e">
        <f t="shared" si="18"/>
        <v>#DIV/0!</v>
      </c>
      <c r="H22" s="1"/>
      <c r="I22" s="8"/>
      <c r="J22" s="8"/>
      <c r="K22" s="3">
        <f t="shared" si="19"/>
        <v>0</v>
      </c>
      <c r="L22" s="3"/>
      <c r="M22" s="4"/>
      <c r="N22" s="4"/>
      <c r="O22" s="1">
        <f t="shared" si="20"/>
        <v>0</v>
      </c>
      <c r="P22" s="1"/>
      <c r="Q22" s="2"/>
      <c r="R22" s="2"/>
      <c r="S22" s="2"/>
      <c r="T22" s="2"/>
      <c r="U22" t="e">
        <f t="shared" si="21"/>
        <v>#DIV/0!</v>
      </c>
      <c r="V22" t="e">
        <f t="shared" si="22"/>
        <v>#DIV/0!</v>
      </c>
      <c r="W22" s="2"/>
      <c r="X22" s="2"/>
      <c r="Y22" t="e">
        <f>U22/W22*10</f>
        <v>#DIV/0!</v>
      </c>
      <c r="Z22" t="e">
        <f t="shared" si="23"/>
        <v>#DIV/0!</v>
      </c>
    </row>
    <row r="23" spans="1:26" ht="12.75">
      <c r="A23" s="2"/>
      <c r="B23" s="2"/>
      <c r="C23" s="2"/>
      <c r="D23" s="2"/>
      <c r="E23" t="e">
        <f t="shared" si="16"/>
        <v>#DIV/0!</v>
      </c>
      <c r="F23" t="e">
        <f t="shared" si="17"/>
        <v>#DIV/0!</v>
      </c>
      <c r="G23" s="1" t="e">
        <f t="shared" si="18"/>
        <v>#DIV/0!</v>
      </c>
      <c r="H23" s="1"/>
      <c r="I23" s="8"/>
      <c r="J23" s="8"/>
      <c r="K23" s="3">
        <f t="shared" si="19"/>
        <v>0</v>
      </c>
      <c r="L23" s="3"/>
      <c r="M23" s="4"/>
      <c r="N23" s="4"/>
      <c r="O23" s="1">
        <f t="shared" si="20"/>
        <v>0</v>
      </c>
      <c r="P23" s="1"/>
      <c r="Q23" s="2"/>
      <c r="R23" s="2"/>
      <c r="S23" s="2"/>
      <c r="T23" s="2"/>
      <c r="U23" t="e">
        <f t="shared" si="21"/>
        <v>#DIV/0!</v>
      </c>
      <c r="V23" t="e">
        <f t="shared" si="22"/>
        <v>#DIV/0!</v>
      </c>
      <c r="W23" s="2"/>
      <c r="X23" s="2"/>
      <c r="Y23" t="e">
        <f>U23/W23*10</f>
        <v>#DIV/0!</v>
      </c>
      <c r="Z23" t="e">
        <f t="shared" si="23"/>
        <v>#DIV/0!</v>
      </c>
    </row>
    <row r="24" spans="1:28" ht="15.75">
      <c r="A24" s="7" t="s">
        <v>38</v>
      </c>
      <c r="B24">
        <f>SUM(B16:B23)</f>
        <v>99.99999999999999</v>
      </c>
      <c r="C24">
        <f>SUM(C16:C23)</f>
        <v>39</v>
      </c>
      <c r="G24" s="1" t="e">
        <f>SUM(G16:G23)</f>
        <v>#DIV/0!</v>
      </c>
      <c r="H24" s="1"/>
      <c r="I24" s="8"/>
      <c r="J24" s="8"/>
      <c r="K24" s="3">
        <f>SUM(K16:K23)</f>
        <v>382.3314</v>
      </c>
      <c r="L24" s="3"/>
      <c r="M24" s="3"/>
      <c r="N24" s="3"/>
      <c r="O24" s="1">
        <f>SUM(O16:O23)</f>
        <v>100</v>
      </c>
      <c r="P24" s="1"/>
      <c r="U24" t="str">
        <f>A24</f>
        <v>Kapton</v>
      </c>
      <c r="V24" s="5">
        <f>W24*Z24/10</f>
        <v>39.530789721165306</v>
      </c>
      <c r="W24" s="6">
        <v>1.42</v>
      </c>
      <c r="Y24" t="str">
        <f>U24</f>
        <v>Kapton</v>
      </c>
      <c r="Z24" s="5">
        <f>1/AB24</f>
        <v>278.38584310679795</v>
      </c>
      <c r="AA24" t="str">
        <f>U24</f>
        <v>Kapton</v>
      </c>
      <c r="AB24">
        <f>SUM(AA16:AB23)</f>
        <v>0.0035921366864060224</v>
      </c>
    </row>
    <row r="26" spans="1:27" ht="15.75">
      <c r="A26" s="7" t="s">
        <v>42</v>
      </c>
      <c r="AA26" t="s">
        <v>33</v>
      </c>
    </row>
    <row r="27" spans="1:28" ht="12.75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 t="s">
        <v>13</v>
      </c>
      <c r="G27" s="1" t="s">
        <v>17</v>
      </c>
      <c r="H27" s="1"/>
      <c r="I27" s="8"/>
      <c r="J27" s="8"/>
      <c r="K27" s="3" t="s">
        <v>14</v>
      </c>
      <c r="L27" s="3"/>
      <c r="M27" s="3"/>
      <c r="N27" s="3"/>
      <c r="O27" s="1" t="s">
        <v>14</v>
      </c>
      <c r="P27" s="1"/>
      <c r="Q27" t="s">
        <v>21</v>
      </c>
      <c r="R27" t="s">
        <v>22</v>
      </c>
      <c r="S27" t="s">
        <v>19</v>
      </c>
      <c r="T27" t="s">
        <v>20</v>
      </c>
      <c r="U27" t="s">
        <v>25</v>
      </c>
      <c r="V27" t="s">
        <v>26</v>
      </c>
      <c r="W27" t="s">
        <v>28</v>
      </c>
      <c r="X27" t="s">
        <v>27</v>
      </c>
      <c r="Y27" t="s">
        <v>29</v>
      </c>
      <c r="Z27" t="s">
        <v>30</v>
      </c>
      <c r="AA27" t="s">
        <v>32</v>
      </c>
      <c r="AB27" t="s">
        <v>31</v>
      </c>
    </row>
    <row r="28" spans="1:31" ht="12.75">
      <c r="A28" s="2" t="s">
        <v>39</v>
      </c>
      <c r="B28" s="2">
        <f>C28/SUM($C$28:$C$30)*100</f>
        <v>46.15384615384615</v>
      </c>
      <c r="C28" s="2">
        <v>6</v>
      </c>
      <c r="D28" s="2"/>
      <c r="E28">
        <f>C28/(C28+D28)</f>
        <v>1</v>
      </c>
      <c r="F28">
        <f>D28/(C28+D28)</f>
        <v>0</v>
      </c>
      <c r="G28" s="1">
        <f>B28*E28</f>
        <v>46.15384615384615</v>
      </c>
      <c r="H28" s="1"/>
      <c r="I28" s="8"/>
      <c r="J28" s="8"/>
      <c r="K28" s="3">
        <f>C28*S28</f>
        <v>72.066</v>
      </c>
      <c r="L28" s="3"/>
      <c r="M28" s="4"/>
      <c r="N28" s="4"/>
      <c r="O28" s="1">
        <f>K28/$K$36*100</f>
        <v>76.57406856453109</v>
      </c>
      <c r="P28" s="1"/>
      <c r="Q28" s="2">
        <v>6</v>
      </c>
      <c r="R28" s="2"/>
      <c r="S28" s="2">
        <v>12.011</v>
      </c>
      <c r="T28" s="2"/>
      <c r="U28">
        <f>$AE$4*S28/(Q28*(Q28+1)*LN($AE$5/SQRT(Q28)))</f>
        <v>43.00806871858734</v>
      </c>
      <c r="V28" t="e">
        <f>$AE$4*T28/(R28*(R28+1)*LN($AE$5/SQRT(R28)))</f>
        <v>#DIV/0!</v>
      </c>
      <c r="W28" s="2">
        <v>2.266</v>
      </c>
      <c r="X28" s="2"/>
      <c r="Y28" s="2">
        <v>188</v>
      </c>
      <c r="Z28" t="e">
        <f>V28/X28*10</f>
        <v>#DIV/0!</v>
      </c>
      <c r="AA28">
        <f>G28/Y28/100</f>
        <v>0.0024549918166939444</v>
      </c>
      <c r="AE28" s="1" t="s">
        <v>23</v>
      </c>
    </row>
    <row r="29" spans="1:31" ht="12.75">
      <c r="A29" s="2" t="s">
        <v>40</v>
      </c>
      <c r="B29" s="2">
        <f>C29/SUM($C$28:$C$30)*100</f>
        <v>46.15384615384615</v>
      </c>
      <c r="C29" s="2">
        <v>6</v>
      </c>
      <c r="D29" s="2"/>
      <c r="E29">
        <f aca="true" t="shared" si="24" ref="E29:E35">C29/(C29+D29)</f>
        <v>1</v>
      </c>
      <c r="F29">
        <f aca="true" t="shared" si="25" ref="F29:F35">D29/(C29+D29)</f>
        <v>0</v>
      </c>
      <c r="G29" s="1">
        <f aca="true" t="shared" si="26" ref="G29:G35">B29*E29</f>
        <v>46.15384615384615</v>
      </c>
      <c r="H29" s="1"/>
      <c r="I29" s="8"/>
      <c r="J29" s="8"/>
      <c r="K29" s="3">
        <f aca="true" t="shared" si="27" ref="K29:K35">C29*S29</f>
        <v>6.0474</v>
      </c>
      <c r="L29" s="3"/>
      <c r="M29" s="4"/>
      <c r="N29" s="4"/>
      <c r="O29" s="1">
        <f aca="true" t="shared" si="28" ref="O29:O35">K29/$K$36*100</f>
        <v>6.425693423211295</v>
      </c>
      <c r="P29" s="1"/>
      <c r="Q29" s="2">
        <v>1</v>
      </c>
      <c r="R29" s="2"/>
      <c r="S29" s="2">
        <v>1.0079</v>
      </c>
      <c r="T29" s="2"/>
      <c r="U29">
        <f aca="true" t="shared" si="29" ref="U29:U35">$AE$4*S29/(Q29*(Q29+1)*LN($AE$5/SQRT(Q29)))</f>
        <v>63.79201598949494</v>
      </c>
      <c r="V29" t="e">
        <f aca="true" t="shared" si="30" ref="V29:V35">$AE$4*T29/(R29*(R29+1)*LN($AE$5/SQRT(R29)))</f>
        <v>#DIV/0!</v>
      </c>
      <c r="W29" s="2">
        <v>0.0708</v>
      </c>
      <c r="X29" s="2"/>
      <c r="Y29" s="2">
        <v>8650</v>
      </c>
      <c r="Z29" t="e">
        <f aca="true" t="shared" si="31" ref="Z29:Z35">V29/X29*10</f>
        <v>#DIV/0!</v>
      </c>
      <c r="AA29">
        <f>G29/Y29/100</f>
        <v>5.3357047576700755E-05</v>
      </c>
      <c r="AE29" s="1">
        <v>716.4</v>
      </c>
    </row>
    <row r="30" spans="1:31" ht="12.75">
      <c r="A30" s="2" t="s">
        <v>31</v>
      </c>
      <c r="B30" s="2">
        <f>C30/SUM($C$28:$C$30)*100</f>
        <v>7.6923076923076925</v>
      </c>
      <c r="C30" s="2">
        <v>1</v>
      </c>
      <c r="D30" s="2"/>
      <c r="E30">
        <f t="shared" si="24"/>
        <v>1</v>
      </c>
      <c r="F30">
        <f t="shared" si="25"/>
        <v>0</v>
      </c>
      <c r="G30" s="1">
        <f t="shared" si="26"/>
        <v>7.6923076923076925</v>
      </c>
      <c r="H30" s="1"/>
      <c r="I30" s="8"/>
      <c r="J30" s="8"/>
      <c r="K30" s="3">
        <f t="shared" si="27"/>
        <v>15.9994</v>
      </c>
      <c r="L30" s="3"/>
      <c r="M30" s="4"/>
      <c r="N30" s="4"/>
      <c r="O30" s="1">
        <f t="shared" si="28"/>
        <v>17.000238012257633</v>
      </c>
      <c r="P30" s="1"/>
      <c r="Q30" s="2">
        <v>8</v>
      </c>
      <c r="R30" s="2"/>
      <c r="S30" s="2">
        <v>15.9994</v>
      </c>
      <c r="T30" s="2"/>
      <c r="U30">
        <f t="shared" si="29"/>
        <v>34.45936157051221</v>
      </c>
      <c r="V30" t="e">
        <f t="shared" si="30"/>
        <v>#DIV/0!</v>
      </c>
      <c r="W30" s="2">
        <v>1.141</v>
      </c>
      <c r="X30" s="2"/>
      <c r="Y30" s="2">
        <v>287</v>
      </c>
      <c r="Z30" t="e">
        <f t="shared" si="31"/>
        <v>#DIV/0!</v>
      </c>
      <c r="AA30">
        <f>G30/Y30/100</f>
        <v>0.0002680246582685607</v>
      </c>
      <c r="AE30" s="1">
        <v>287</v>
      </c>
    </row>
    <row r="31" spans="1:31" ht="12.75">
      <c r="A31" s="2"/>
      <c r="B31" s="2"/>
      <c r="C31" s="2"/>
      <c r="D31" s="2"/>
      <c r="E31" t="e">
        <f t="shared" si="24"/>
        <v>#DIV/0!</v>
      </c>
      <c r="F31" t="e">
        <f t="shared" si="25"/>
        <v>#DIV/0!</v>
      </c>
      <c r="G31" s="1" t="e">
        <f t="shared" si="26"/>
        <v>#DIV/0!</v>
      </c>
      <c r="H31" s="1"/>
      <c r="I31" s="8"/>
      <c r="J31" s="8"/>
      <c r="K31" s="3">
        <f t="shared" si="27"/>
        <v>0</v>
      </c>
      <c r="L31" s="3"/>
      <c r="M31" s="4"/>
      <c r="N31" s="4"/>
      <c r="O31" s="1">
        <f t="shared" si="28"/>
        <v>0</v>
      </c>
      <c r="P31" s="1"/>
      <c r="Q31" s="2"/>
      <c r="R31" s="2"/>
      <c r="S31" s="2"/>
      <c r="T31" s="2"/>
      <c r="U31" t="e">
        <f t="shared" si="29"/>
        <v>#DIV/0!</v>
      </c>
      <c r="V31" t="e">
        <f t="shared" si="30"/>
        <v>#DIV/0!</v>
      </c>
      <c r="W31" s="2"/>
      <c r="X31" s="2"/>
      <c r="Y31" s="2"/>
      <c r="Z31" t="e">
        <f t="shared" si="31"/>
        <v>#DIV/0!</v>
      </c>
      <c r="AE31" s="1" t="s">
        <v>24</v>
      </c>
    </row>
    <row r="32" spans="1:31" ht="12.75">
      <c r="A32" s="2"/>
      <c r="B32" s="2"/>
      <c r="C32" s="2"/>
      <c r="D32" s="2"/>
      <c r="E32" t="e">
        <f t="shared" si="24"/>
        <v>#DIV/0!</v>
      </c>
      <c r="F32" t="e">
        <f t="shared" si="25"/>
        <v>#DIV/0!</v>
      </c>
      <c r="G32" s="1" t="e">
        <f t="shared" si="26"/>
        <v>#DIV/0!</v>
      </c>
      <c r="H32" s="1"/>
      <c r="I32" s="8"/>
      <c r="J32" s="8"/>
      <c r="K32" s="3">
        <f t="shared" si="27"/>
        <v>0</v>
      </c>
      <c r="L32" s="3"/>
      <c r="M32" s="4"/>
      <c r="N32" s="4"/>
      <c r="O32" s="1">
        <f t="shared" si="28"/>
        <v>0</v>
      </c>
      <c r="P32" s="1"/>
      <c r="Q32" s="2"/>
      <c r="R32" s="2"/>
      <c r="S32" s="2"/>
      <c r="T32" s="2"/>
      <c r="U32" t="e">
        <f t="shared" si="29"/>
        <v>#DIV/0!</v>
      </c>
      <c r="V32" t="e">
        <f t="shared" si="30"/>
        <v>#DIV/0!</v>
      </c>
      <c r="W32" s="2"/>
      <c r="X32" s="2"/>
      <c r="Y32" t="e">
        <f>U32/W32*10</f>
        <v>#DIV/0!</v>
      </c>
      <c r="Z32" t="e">
        <f t="shared" si="31"/>
        <v>#DIV/0!</v>
      </c>
      <c r="AE32" s="1"/>
    </row>
    <row r="33" spans="1:26" ht="12.75">
      <c r="A33" s="2"/>
      <c r="B33" s="2"/>
      <c r="C33" s="2"/>
      <c r="D33" s="2"/>
      <c r="E33" t="e">
        <f t="shared" si="24"/>
        <v>#DIV/0!</v>
      </c>
      <c r="F33" t="e">
        <f t="shared" si="25"/>
        <v>#DIV/0!</v>
      </c>
      <c r="G33" s="1" t="e">
        <f t="shared" si="26"/>
        <v>#DIV/0!</v>
      </c>
      <c r="H33" s="1"/>
      <c r="I33" s="8"/>
      <c r="J33" s="8"/>
      <c r="K33" s="3">
        <f t="shared" si="27"/>
        <v>0</v>
      </c>
      <c r="L33" s="3"/>
      <c r="M33" s="4"/>
      <c r="N33" s="4"/>
      <c r="O33" s="1">
        <f t="shared" si="28"/>
        <v>0</v>
      </c>
      <c r="P33" s="1"/>
      <c r="Q33" s="2"/>
      <c r="R33" s="2"/>
      <c r="S33" s="2"/>
      <c r="T33" s="2"/>
      <c r="U33" t="e">
        <f t="shared" si="29"/>
        <v>#DIV/0!</v>
      </c>
      <c r="V33" t="e">
        <f t="shared" si="30"/>
        <v>#DIV/0!</v>
      </c>
      <c r="W33" s="2"/>
      <c r="X33" s="2"/>
      <c r="Y33" t="e">
        <f>U33/W33*10</f>
        <v>#DIV/0!</v>
      </c>
      <c r="Z33" t="e">
        <f t="shared" si="31"/>
        <v>#DIV/0!</v>
      </c>
    </row>
    <row r="34" spans="1:26" ht="12.75">
      <c r="A34" s="2"/>
      <c r="B34" s="2"/>
      <c r="C34" s="2"/>
      <c r="D34" s="2"/>
      <c r="E34" t="e">
        <f t="shared" si="24"/>
        <v>#DIV/0!</v>
      </c>
      <c r="F34" t="e">
        <f t="shared" si="25"/>
        <v>#DIV/0!</v>
      </c>
      <c r="G34" s="1" t="e">
        <f t="shared" si="26"/>
        <v>#DIV/0!</v>
      </c>
      <c r="H34" s="1"/>
      <c r="I34" s="8"/>
      <c r="J34" s="8"/>
      <c r="K34" s="3">
        <f t="shared" si="27"/>
        <v>0</v>
      </c>
      <c r="L34" s="3"/>
      <c r="M34" s="4"/>
      <c r="N34" s="4"/>
      <c r="O34" s="1">
        <f t="shared" si="28"/>
        <v>0</v>
      </c>
      <c r="P34" s="1"/>
      <c r="Q34" s="2"/>
      <c r="R34" s="2"/>
      <c r="S34" s="2"/>
      <c r="T34" s="2"/>
      <c r="U34" t="e">
        <f t="shared" si="29"/>
        <v>#DIV/0!</v>
      </c>
      <c r="V34" t="e">
        <f t="shared" si="30"/>
        <v>#DIV/0!</v>
      </c>
      <c r="W34" s="2"/>
      <c r="X34" s="2"/>
      <c r="Y34" t="e">
        <f>U34/W34*10</f>
        <v>#DIV/0!</v>
      </c>
      <c r="Z34" t="e">
        <f t="shared" si="31"/>
        <v>#DIV/0!</v>
      </c>
    </row>
    <row r="35" spans="1:26" ht="12.75">
      <c r="A35" s="2"/>
      <c r="B35" s="2"/>
      <c r="C35" s="2"/>
      <c r="D35" s="2"/>
      <c r="E35" t="e">
        <f t="shared" si="24"/>
        <v>#DIV/0!</v>
      </c>
      <c r="F35" t="e">
        <f t="shared" si="25"/>
        <v>#DIV/0!</v>
      </c>
      <c r="G35" s="1" t="e">
        <f t="shared" si="26"/>
        <v>#DIV/0!</v>
      </c>
      <c r="H35" s="1"/>
      <c r="I35" s="8"/>
      <c r="J35" s="8"/>
      <c r="K35" s="3">
        <f t="shared" si="27"/>
        <v>0</v>
      </c>
      <c r="L35" s="3"/>
      <c r="M35" s="4"/>
      <c r="N35" s="4"/>
      <c r="O35" s="1">
        <f t="shared" si="28"/>
        <v>0</v>
      </c>
      <c r="P35" s="1"/>
      <c r="Q35" s="2"/>
      <c r="R35" s="2"/>
      <c r="S35" s="2"/>
      <c r="T35" s="2"/>
      <c r="U35" t="e">
        <f t="shared" si="29"/>
        <v>#DIV/0!</v>
      </c>
      <c r="V35" t="e">
        <f t="shared" si="30"/>
        <v>#DIV/0!</v>
      </c>
      <c r="W35" s="2"/>
      <c r="X35" s="2"/>
      <c r="Y35" t="e">
        <f>U35/W35*10</f>
        <v>#DIV/0!</v>
      </c>
      <c r="Z35" t="e">
        <f t="shared" si="31"/>
        <v>#DIV/0!</v>
      </c>
    </row>
    <row r="36" spans="1:28" ht="15.75">
      <c r="A36" s="7" t="s">
        <v>42</v>
      </c>
      <c r="B36">
        <f>SUM(B28:B35)</f>
        <v>100</v>
      </c>
      <c r="C36">
        <f>SUM(C28:C35)</f>
        <v>13</v>
      </c>
      <c r="G36" s="1" t="e">
        <f>SUM(G28:G35)</f>
        <v>#DIV/0!</v>
      </c>
      <c r="H36" s="1"/>
      <c r="I36" s="8"/>
      <c r="J36" s="8"/>
      <c r="K36" s="3">
        <f>SUM(K28:K35)</f>
        <v>94.1128</v>
      </c>
      <c r="L36" s="3"/>
      <c r="M36" s="3"/>
      <c r="N36" s="3"/>
      <c r="O36" s="1">
        <f>SUM(O28:O35)</f>
        <v>100.00000000000003</v>
      </c>
      <c r="P36" s="1"/>
      <c r="U36" t="str">
        <f>A36</f>
        <v>Adhesive</v>
      </c>
      <c r="V36" s="5">
        <f>W36*Z36/10</f>
        <v>43.22185002335378</v>
      </c>
      <c r="W36" s="6">
        <v>1.2</v>
      </c>
      <c r="Y36" t="str">
        <f>U36</f>
        <v>Adhesive</v>
      </c>
      <c r="Z36" s="5">
        <f>1/AB36</f>
        <v>360.1820835279482</v>
      </c>
      <c r="AA36" t="str">
        <f>U36</f>
        <v>Adhesive</v>
      </c>
      <c r="AB36">
        <f>SUM(AA28:AB35)</f>
        <v>0.002776373522539206</v>
      </c>
    </row>
    <row r="38" spans="1:27" ht="15.75">
      <c r="A38" s="7" t="s">
        <v>43</v>
      </c>
      <c r="AA38" t="s">
        <v>33</v>
      </c>
    </row>
    <row r="39" spans="1:28" ht="12.75">
      <c r="A39" t="s">
        <v>8</v>
      </c>
      <c r="B39" t="s">
        <v>9</v>
      </c>
      <c r="C39" t="s">
        <v>10</v>
      </c>
      <c r="D39" t="s">
        <v>11</v>
      </c>
      <c r="E39" t="s">
        <v>12</v>
      </c>
      <c r="F39" t="s">
        <v>13</v>
      </c>
      <c r="G39" s="1" t="s">
        <v>17</v>
      </c>
      <c r="H39" s="1"/>
      <c r="I39" s="8"/>
      <c r="J39" s="8"/>
      <c r="K39" s="3" t="s">
        <v>14</v>
      </c>
      <c r="L39" s="3"/>
      <c r="M39" s="3"/>
      <c r="N39" s="3"/>
      <c r="O39" s="1" t="s">
        <v>14</v>
      </c>
      <c r="P39" s="1"/>
      <c r="Q39" t="s">
        <v>21</v>
      </c>
      <c r="R39" t="s">
        <v>22</v>
      </c>
      <c r="S39" t="s">
        <v>19</v>
      </c>
      <c r="T39" t="s">
        <v>20</v>
      </c>
      <c r="U39" t="s">
        <v>25</v>
      </c>
      <c r="V39" t="s">
        <v>26</v>
      </c>
      <c r="W39" t="s">
        <v>28</v>
      </c>
      <c r="X39" t="s">
        <v>27</v>
      </c>
      <c r="Y39" t="s">
        <v>29</v>
      </c>
      <c r="Z39" t="s">
        <v>30</v>
      </c>
      <c r="AA39" t="s">
        <v>32</v>
      </c>
      <c r="AB39" t="s">
        <v>31</v>
      </c>
    </row>
    <row r="40" spans="1:31" ht="12.75">
      <c r="A40" s="2" t="s">
        <v>39</v>
      </c>
      <c r="B40" s="2">
        <f>C40/SUM($C$40:$C$43)*100</f>
        <v>44.55335263978614</v>
      </c>
      <c r="C40" s="2">
        <v>6</v>
      </c>
      <c r="D40" s="2"/>
      <c r="E40">
        <f>C40/(C40+D40)</f>
        <v>1</v>
      </c>
      <c r="F40">
        <f>D40/(C40+D40)</f>
        <v>0</v>
      </c>
      <c r="G40" s="1">
        <f>B40*E40</f>
        <v>44.55335263978614</v>
      </c>
      <c r="H40" s="1"/>
      <c r="I40" s="8"/>
      <c r="J40" s="8"/>
      <c r="K40" s="3">
        <f>C40*S40</f>
        <v>72.066</v>
      </c>
      <c r="L40" s="3"/>
      <c r="M40" s="4"/>
      <c r="N40" s="4"/>
      <c r="O40" s="1">
        <f>K40/$K$48*100</f>
        <v>49.87709772625049</v>
      </c>
      <c r="P40" s="1"/>
      <c r="Q40" s="2">
        <v>6</v>
      </c>
      <c r="R40" s="2"/>
      <c r="S40" s="2">
        <v>12.011</v>
      </c>
      <c r="T40" s="2"/>
      <c r="U40">
        <f>$AE$4*S40/(Q40*(Q40+1)*LN($AE$5/SQRT(Q40)))</f>
        <v>43.00806871858734</v>
      </c>
      <c r="V40" t="e">
        <f>$AE$4*T40/(R40*(R40+1)*LN($AE$5/SQRT(R40)))</f>
        <v>#DIV/0!</v>
      </c>
      <c r="W40" s="2">
        <v>2.266</v>
      </c>
      <c r="X40" s="2"/>
      <c r="Y40" s="2">
        <v>188</v>
      </c>
      <c r="Z40" t="e">
        <f>V40/X40*10</f>
        <v>#DIV/0!</v>
      </c>
      <c r="AA40">
        <f>G40/Y40/100</f>
        <v>0.002369859182967348</v>
      </c>
      <c r="AE40" s="1" t="s">
        <v>23</v>
      </c>
    </row>
    <row r="41" spans="1:31" ht="12.75">
      <c r="A41" s="2" t="s">
        <v>40</v>
      </c>
      <c r="B41" s="2">
        <f>C41/SUM($C$40:$C$43)*100</f>
        <v>44.55335263978614</v>
      </c>
      <c r="C41" s="2">
        <v>6</v>
      </c>
      <c r="D41" s="2"/>
      <c r="E41">
        <f aca="true" t="shared" si="32" ref="E41:E47">C41/(C41+D41)</f>
        <v>1</v>
      </c>
      <c r="F41">
        <f aca="true" t="shared" si="33" ref="F41:F47">D41/(C41+D41)</f>
        <v>0</v>
      </c>
      <c r="G41" s="1">
        <f aca="true" t="shared" si="34" ref="G41:G47">B41*E41</f>
        <v>44.55335263978614</v>
      </c>
      <c r="H41" s="1"/>
      <c r="I41" s="8"/>
      <c r="J41" s="8"/>
      <c r="K41" s="3">
        <f aca="true" t="shared" si="35" ref="K41:K47">C41*S41</f>
        <v>6.0474</v>
      </c>
      <c r="L41" s="3"/>
      <c r="M41" s="4"/>
      <c r="N41" s="4"/>
      <c r="O41" s="1">
        <f aca="true" t="shared" si="36" ref="O41:O47">K41/$K$48*100</f>
        <v>4.1854239279233925</v>
      </c>
      <c r="P41" s="1"/>
      <c r="Q41" s="2">
        <v>1</v>
      </c>
      <c r="R41" s="2"/>
      <c r="S41" s="2">
        <v>1.0079</v>
      </c>
      <c r="T41" s="2"/>
      <c r="U41">
        <f aca="true" t="shared" si="37" ref="U41:U47">$AE$4*S41/(Q41*(Q41+1)*LN($AE$5/SQRT(Q41)))</f>
        <v>63.79201598949494</v>
      </c>
      <c r="V41" t="e">
        <f aca="true" t="shared" si="38" ref="V41:V47">$AE$4*T41/(R41*(R41+1)*LN($AE$5/SQRT(R41)))</f>
        <v>#DIV/0!</v>
      </c>
      <c r="W41" s="2">
        <v>0.0708</v>
      </c>
      <c r="X41" s="2"/>
      <c r="Y41" s="2">
        <v>8650</v>
      </c>
      <c r="Z41" t="e">
        <f aca="true" t="shared" si="39" ref="Z41:Z47">V41/X41*10</f>
        <v>#DIV/0!</v>
      </c>
      <c r="AA41">
        <f>G41/Y41/100</f>
        <v>5.1506766057556234E-05</v>
      </c>
      <c r="AE41" s="1">
        <v>716.4</v>
      </c>
    </row>
    <row r="42" spans="1:31" ht="12.75">
      <c r="A42" s="2" t="s">
        <v>31</v>
      </c>
      <c r="B42" s="2">
        <f>C42/SUM($C$40:$C$43)*100</f>
        <v>7.4255587732976895</v>
      </c>
      <c r="C42" s="2">
        <v>1</v>
      </c>
      <c r="D42" s="2"/>
      <c r="E42">
        <f t="shared" si="32"/>
        <v>1</v>
      </c>
      <c r="F42">
        <f t="shared" si="33"/>
        <v>0</v>
      </c>
      <c r="G42" s="1">
        <f t="shared" si="34"/>
        <v>7.4255587732976895</v>
      </c>
      <c r="H42" s="1"/>
      <c r="I42" s="8"/>
      <c r="J42" s="8"/>
      <c r="K42" s="3">
        <f t="shared" si="35"/>
        <v>15.9994</v>
      </c>
      <c r="L42" s="3"/>
      <c r="M42" s="4"/>
      <c r="N42" s="4"/>
      <c r="O42" s="1">
        <f t="shared" si="36"/>
        <v>11.073233388302002</v>
      </c>
      <c r="P42" s="1"/>
      <c r="Q42" s="2">
        <v>8</v>
      </c>
      <c r="R42" s="2"/>
      <c r="S42" s="2">
        <v>15.9994</v>
      </c>
      <c r="T42" s="2"/>
      <c r="U42">
        <f t="shared" si="37"/>
        <v>34.45936157051221</v>
      </c>
      <c r="V42" t="e">
        <f t="shared" si="38"/>
        <v>#DIV/0!</v>
      </c>
      <c r="W42" s="2">
        <v>1.141</v>
      </c>
      <c r="X42" s="2"/>
      <c r="Y42" s="2">
        <v>287</v>
      </c>
      <c r="Z42" t="e">
        <f t="shared" si="39"/>
        <v>#DIV/0!</v>
      </c>
      <c r="AA42">
        <f>G42/Y42/100</f>
        <v>0.0002587302708466094</v>
      </c>
      <c r="AE42" s="1">
        <v>287</v>
      </c>
    </row>
    <row r="43" spans="1:31" ht="12.75">
      <c r="A43" s="2" t="s">
        <v>44</v>
      </c>
      <c r="B43" s="2">
        <f>C43/SUM($C$40:$C$43)*100</f>
        <v>3.4677359471300218</v>
      </c>
      <c r="C43" s="2">
        <v>0.467</v>
      </c>
      <c r="D43" s="2"/>
      <c r="E43">
        <f t="shared" si="32"/>
        <v>1</v>
      </c>
      <c r="F43">
        <f t="shared" si="33"/>
        <v>0</v>
      </c>
      <c r="G43" s="1">
        <f t="shared" si="34"/>
        <v>3.4677359471300218</v>
      </c>
      <c r="H43" s="1"/>
      <c r="I43" s="8"/>
      <c r="J43" s="8"/>
      <c r="K43" s="3">
        <f t="shared" si="35"/>
        <v>50.374356</v>
      </c>
      <c r="L43" s="3"/>
      <c r="M43" s="4"/>
      <c r="N43" s="4"/>
      <c r="O43" s="1">
        <f t="shared" si="36"/>
        <v>34.864244957524114</v>
      </c>
      <c r="P43" s="1"/>
      <c r="Q43" s="2">
        <v>47</v>
      </c>
      <c r="R43" s="2"/>
      <c r="S43" s="2">
        <v>107.868</v>
      </c>
      <c r="T43" s="2"/>
      <c r="U43">
        <f t="shared" si="37"/>
        <v>9.172491022369762</v>
      </c>
      <c r="V43" t="e">
        <f t="shared" si="38"/>
        <v>#DIV/0!</v>
      </c>
      <c r="W43" s="2">
        <v>10.5</v>
      </c>
      <c r="X43" s="2"/>
      <c r="Y43" s="2">
        <v>8.543</v>
      </c>
      <c r="Z43" t="e">
        <f t="shared" si="39"/>
        <v>#DIV/0!</v>
      </c>
      <c r="AA43">
        <f>G43/Y43/100</f>
        <v>0.004059154801744144</v>
      </c>
      <c r="AE43" s="1" t="s">
        <v>24</v>
      </c>
    </row>
    <row r="44" spans="1:31" ht="12.75">
      <c r="A44" s="2"/>
      <c r="B44" s="2"/>
      <c r="C44" s="2"/>
      <c r="D44" s="2"/>
      <c r="E44" t="e">
        <f t="shared" si="32"/>
        <v>#DIV/0!</v>
      </c>
      <c r="F44" t="e">
        <f t="shared" si="33"/>
        <v>#DIV/0!</v>
      </c>
      <c r="G44" s="1" t="e">
        <f t="shared" si="34"/>
        <v>#DIV/0!</v>
      </c>
      <c r="H44" s="1"/>
      <c r="I44" s="8"/>
      <c r="J44" s="8"/>
      <c r="K44" s="3">
        <f t="shared" si="35"/>
        <v>0</v>
      </c>
      <c r="L44" s="3"/>
      <c r="M44" s="4"/>
      <c r="N44" s="4"/>
      <c r="O44" s="1">
        <f t="shared" si="36"/>
        <v>0</v>
      </c>
      <c r="P44" s="1"/>
      <c r="Q44" s="2"/>
      <c r="R44" s="2"/>
      <c r="S44" s="2"/>
      <c r="T44" s="2"/>
      <c r="U44" t="e">
        <f t="shared" si="37"/>
        <v>#DIV/0!</v>
      </c>
      <c r="V44" t="e">
        <f t="shared" si="38"/>
        <v>#DIV/0!</v>
      </c>
      <c r="W44" s="2"/>
      <c r="X44" s="2"/>
      <c r="Y44" t="e">
        <f>U44/W44*10</f>
        <v>#DIV/0!</v>
      </c>
      <c r="Z44" t="e">
        <f t="shared" si="39"/>
        <v>#DIV/0!</v>
      </c>
      <c r="AE44" s="1"/>
    </row>
    <row r="45" spans="1:26" ht="12.75">
      <c r="A45" s="2"/>
      <c r="B45" s="2"/>
      <c r="C45" s="2"/>
      <c r="D45" s="2"/>
      <c r="E45" t="e">
        <f t="shared" si="32"/>
        <v>#DIV/0!</v>
      </c>
      <c r="F45" t="e">
        <f t="shared" si="33"/>
        <v>#DIV/0!</v>
      </c>
      <c r="G45" s="1" t="e">
        <f t="shared" si="34"/>
        <v>#DIV/0!</v>
      </c>
      <c r="H45" s="1"/>
      <c r="I45" s="8"/>
      <c r="J45" s="8"/>
      <c r="K45" s="3">
        <f t="shared" si="35"/>
        <v>0</v>
      </c>
      <c r="L45" s="3"/>
      <c r="M45" s="4"/>
      <c r="N45" s="4"/>
      <c r="O45" s="1">
        <f t="shared" si="36"/>
        <v>0</v>
      </c>
      <c r="P45" s="1"/>
      <c r="Q45" s="2"/>
      <c r="R45" s="2"/>
      <c r="S45" s="2"/>
      <c r="T45" s="2"/>
      <c r="U45" t="e">
        <f t="shared" si="37"/>
        <v>#DIV/0!</v>
      </c>
      <c r="V45" t="e">
        <f t="shared" si="38"/>
        <v>#DIV/0!</v>
      </c>
      <c r="W45" s="2"/>
      <c r="X45" s="2"/>
      <c r="Y45" t="e">
        <f>U45/W45*10</f>
        <v>#DIV/0!</v>
      </c>
      <c r="Z45" t="e">
        <f t="shared" si="39"/>
        <v>#DIV/0!</v>
      </c>
    </row>
    <row r="46" spans="1:26" ht="12.75">
      <c r="A46" s="2"/>
      <c r="B46" s="2"/>
      <c r="C46" s="2"/>
      <c r="D46" s="2"/>
      <c r="E46" t="e">
        <f t="shared" si="32"/>
        <v>#DIV/0!</v>
      </c>
      <c r="F46" t="e">
        <f t="shared" si="33"/>
        <v>#DIV/0!</v>
      </c>
      <c r="G46" s="1" t="e">
        <f t="shared" si="34"/>
        <v>#DIV/0!</v>
      </c>
      <c r="H46" s="1"/>
      <c r="I46" s="8"/>
      <c r="J46" s="8"/>
      <c r="K46" s="3">
        <f t="shared" si="35"/>
        <v>0</v>
      </c>
      <c r="L46" s="3"/>
      <c r="M46" s="4"/>
      <c r="N46" s="4"/>
      <c r="O46" s="1">
        <f t="shared" si="36"/>
        <v>0</v>
      </c>
      <c r="P46" s="1"/>
      <c r="Q46" s="2"/>
      <c r="R46" s="2"/>
      <c r="S46" s="2"/>
      <c r="T46" s="2"/>
      <c r="U46" t="e">
        <f t="shared" si="37"/>
        <v>#DIV/0!</v>
      </c>
      <c r="V46" t="e">
        <f t="shared" si="38"/>
        <v>#DIV/0!</v>
      </c>
      <c r="W46" s="2"/>
      <c r="X46" s="2"/>
      <c r="Y46" t="e">
        <f>U46/W46*10</f>
        <v>#DIV/0!</v>
      </c>
      <c r="Z46" t="e">
        <f t="shared" si="39"/>
        <v>#DIV/0!</v>
      </c>
    </row>
    <row r="47" spans="1:26" ht="12.75">
      <c r="A47" s="2"/>
      <c r="B47" s="2"/>
      <c r="C47" s="2"/>
      <c r="D47" s="2"/>
      <c r="E47" t="e">
        <f t="shared" si="32"/>
        <v>#DIV/0!</v>
      </c>
      <c r="F47" t="e">
        <f t="shared" si="33"/>
        <v>#DIV/0!</v>
      </c>
      <c r="G47" s="1" t="e">
        <f t="shared" si="34"/>
        <v>#DIV/0!</v>
      </c>
      <c r="H47" s="1"/>
      <c r="I47" s="8"/>
      <c r="J47" s="8"/>
      <c r="K47" s="3">
        <f t="shared" si="35"/>
        <v>0</v>
      </c>
      <c r="L47" s="3"/>
      <c r="M47" s="4"/>
      <c r="N47" s="4"/>
      <c r="O47" s="1">
        <f t="shared" si="36"/>
        <v>0</v>
      </c>
      <c r="P47" s="1"/>
      <c r="Q47" s="2"/>
      <c r="R47" s="2"/>
      <c r="S47" s="2"/>
      <c r="T47" s="2"/>
      <c r="U47" t="e">
        <f t="shared" si="37"/>
        <v>#DIV/0!</v>
      </c>
      <c r="V47" t="e">
        <f t="shared" si="38"/>
        <v>#DIV/0!</v>
      </c>
      <c r="W47" s="2"/>
      <c r="X47" s="2"/>
      <c r="Y47" t="e">
        <f>U47/W47*10</f>
        <v>#DIV/0!</v>
      </c>
      <c r="Z47" t="e">
        <f t="shared" si="39"/>
        <v>#DIV/0!</v>
      </c>
    </row>
    <row r="48" spans="1:28" ht="15.75">
      <c r="A48" s="7" t="s">
        <v>43</v>
      </c>
      <c r="B48">
        <f>SUM(B40:B47)</f>
        <v>100</v>
      </c>
      <c r="C48">
        <f>SUM(C40:C47)</f>
        <v>13.467</v>
      </c>
      <c r="G48" s="1" t="e">
        <f>SUM(G40:G47)</f>
        <v>#DIV/0!</v>
      </c>
      <c r="H48" s="1"/>
      <c r="I48" s="8"/>
      <c r="J48" s="8"/>
      <c r="K48" s="3">
        <f>SUM(K40:K47)</f>
        <v>144.487156</v>
      </c>
      <c r="L48" s="3"/>
      <c r="M48" s="3"/>
      <c r="N48" s="3"/>
      <c r="O48" s="1">
        <f>SUM(O40:O47)</f>
        <v>100</v>
      </c>
      <c r="P48" s="1"/>
      <c r="U48" t="str">
        <f>A48</f>
        <v>EotiteP102</v>
      </c>
      <c r="V48" s="5">
        <f>W48*Z48/10</f>
        <v>43.03148807929043</v>
      </c>
      <c r="W48" s="6">
        <v>2.9</v>
      </c>
      <c r="Y48" t="str">
        <f>U48</f>
        <v>EotiteP102</v>
      </c>
      <c r="Z48" s="5">
        <f>1/AB48</f>
        <v>148.38444165272563</v>
      </c>
      <c r="AA48" t="str">
        <f>U48</f>
        <v>EotiteP102</v>
      </c>
      <c r="AB48">
        <f>SUM(AA40:AB47)</f>
        <v>0.006739251021615657</v>
      </c>
    </row>
    <row r="50" spans="1:27" ht="15.75">
      <c r="A50" s="7" t="s">
        <v>45</v>
      </c>
      <c r="AA50" t="s">
        <v>33</v>
      </c>
    </row>
    <row r="51" spans="1:28" ht="12.75">
      <c r="A51" t="s">
        <v>8</v>
      </c>
      <c r="B51" t="s">
        <v>9</v>
      </c>
      <c r="C51" t="s">
        <v>10</v>
      </c>
      <c r="D51" t="s">
        <v>11</v>
      </c>
      <c r="E51" t="s">
        <v>12</v>
      </c>
      <c r="F51" t="s">
        <v>13</v>
      </c>
      <c r="G51" s="1" t="s">
        <v>17</v>
      </c>
      <c r="H51" s="1"/>
      <c r="I51" s="8"/>
      <c r="J51" s="8"/>
      <c r="K51" s="3" t="s">
        <v>14</v>
      </c>
      <c r="L51" s="3"/>
      <c r="M51" s="3"/>
      <c r="N51" s="3"/>
      <c r="O51" s="1" t="s">
        <v>14</v>
      </c>
      <c r="P51" s="1"/>
      <c r="Q51" t="s">
        <v>21</v>
      </c>
      <c r="R51" t="s">
        <v>22</v>
      </c>
      <c r="S51" t="s">
        <v>19</v>
      </c>
      <c r="T51" t="s">
        <v>20</v>
      </c>
      <c r="U51" t="s">
        <v>25</v>
      </c>
      <c r="V51" t="s">
        <v>26</v>
      </c>
      <c r="W51" t="s">
        <v>28</v>
      </c>
      <c r="X51" t="s">
        <v>27</v>
      </c>
      <c r="Y51" t="s">
        <v>29</v>
      </c>
      <c r="Z51" t="s">
        <v>30</v>
      </c>
      <c r="AA51" t="s">
        <v>32</v>
      </c>
      <c r="AB51" t="s">
        <v>31</v>
      </c>
    </row>
    <row r="52" spans="1:31" ht="12.75">
      <c r="A52" s="2" t="s">
        <v>46</v>
      </c>
      <c r="B52" s="2">
        <f>C52/SUM($C$52:$C$53)*100</f>
        <v>33.33333333333333</v>
      </c>
      <c r="C52" s="2">
        <v>1</v>
      </c>
      <c r="D52" s="2"/>
      <c r="E52">
        <f>C52/(C52+D52)</f>
        <v>1</v>
      </c>
      <c r="F52">
        <f>D52/(C52+D52)</f>
        <v>0</v>
      </c>
      <c r="G52" s="1">
        <f>B52*E52</f>
        <v>33.33333333333333</v>
      </c>
      <c r="H52" s="1"/>
      <c r="I52" s="8"/>
      <c r="J52" s="8"/>
      <c r="K52" s="3">
        <f>C52*S52</f>
        <v>28.086</v>
      </c>
      <c r="L52" s="3"/>
      <c r="M52" s="4"/>
      <c r="N52" s="4"/>
      <c r="O52" s="1">
        <f>K52/$K$60*100</f>
        <v>93.30339049492056</v>
      </c>
      <c r="P52" s="1"/>
      <c r="Q52" s="2">
        <v>14</v>
      </c>
      <c r="R52" s="2"/>
      <c r="S52" s="2">
        <v>28.086</v>
      </c>
      <c r="T52" s="2"/>
      <c r="U52">
        <f>$AE$4*S52/(Q52*(Q52+1)*LN($AE$5/SQRT(Q52)))</f>
        <v>22.077052607193384</v>
      </c>
      <c r="V52" t="e">
        <f>$AE$4*T52/(R52*(R52+1)*LN($AE$5/SQRT(R52)))</f>
        <v>#DIV/0!</v>
      </c>
      <c r="W52" s="2">
        <v>2.33</v>
      </c>
      <c r="X52" s="2"/>
      <c r="Y52">
        <f>U52/W52*10</f>
        <v>94.75129874331924</v>
      </c>
      <c r="Z52" t="e">
        <f>V52/X52*10</f>
        <v>#DIV/0!</v>
      </c>
      <c r="AA52">
        <f>G52/Y52/100</f>
        <v>0.003517981682091044</v>
      </c>
      <c r="AE52" s="1" t="s">
        <v>23</v>
      </c>
    </row>
    <row r="53" spans="1:31" ht="12.75">
      <c r="A53" s="2" t="s">
        <v>40</v>
      </c>
      <c r="B53" s="2">
        <f>C53/SUM($C$52:$C$53)*100</f>
        <v>66.66666666666666</v>
      </c>
      <c r="C53" s="2">
        <v>2</v>
      </c>
      <c r="D53" s="2"/>
      <c r="E53">
        <f aca="true" t="shared" si="40" ref="E53:E59">C53/(C53+D53)</f>
        <v>1</v>
      </c>
      <c r="F53">
        <f aca="true" t="shared" si="41" ref="F53:F59">D53/(C53+D53)</f>
        <v>0</v>
      </c>
      <c r="G53" s="1">
        <f aca="true" t="shared" si="42" ref="G53:G59">B53*E53</f>
        <v>66.66666666666666</v>
      </c>
      <c r="H53" s="1"/>
      <c r="I53" s="8"/>
      <c r="J53" s="8"/>
      <c r="K53" s="3">
        <f aca="true" t="shared" si="43" ref="K53:K59">C53*S53</f>
        <v>2.0158</v>
      </c>
      <c r="L53" s="3"/>
      <c r="M53" s="4"/>
      <c r="N53" s="4"/>
      <c r="O53" s="1">
        <f aca="true" t="shared" si="44" ref="O53:O59">K53/$K$60*100</f>
        <v>6.696609505079431</v>
      </c>
      <c r="P53" s="1"/>
      <c r="Q53" s="2">
        <v>1</v>
      </c>
      <c r="R53" s="2"/>
      <c r="S53" s="2">
        <v>1.0079</v>
      </c>
      <c r="T53" s="2"/>
      <c r="U53">
        <f aca="true" t="shared" si="45" ref="U53:U59">$AE$4*S53/(Q53*(Q53+1)*LN($AE$5/SQRT(Q53)))</f>
        <v>63.79201598949494</v>
      </c>
      <c r="V53" t="e">
        <f aca="true" t="shared" si="46" ref="V53:V59">$AE$4*T53/(R53*(R53+1)*LN($AE$5/SQRT(R53)))</f>
        <v>#DIV/0!</v>
      </c>
      <c r="W53" s="2">
        <v>0.0708</v>
      </c>
      <c r="X53" s="2"/>
      <c r="Y53" s="2">
        <v>8650</v>
      </c>
      <c r="Z53" t="e">
        <f aca="true" t="shared" si="47" ref="Z53:Z59">V53/X53*10</f>
        <v>#DIV/0!</v>
      </c>
      <c r="AA53">
        <f>G53/Y53/100</f>
        <v>7.707129094412331E-05</v>
      </c>
      <c r="AE53" s="1">
        <v>716.4</v>
      </c>
    </row>
    <row r="54" spans="1:31" ht="12.75">
      <c r="A54" s="2"/>
      <c r="B54" s="2"/>
      <c r="C54" s="2"/>
      <c r="D54" s="2"/>
      <c r="E54" t="e">
        <f t="shared" si="40"/>
        <v>#DIV/0!</v>
      </c>
      <c r="F54" t="e">
        <f t="shared" si="41"/>
        <v>#DIV/0!</v>
      </c>
      <c r="G54" s="1" t="e">
        <f t="shared" si="42"/>
        <v>#DIV/0!</v>
      </c>
      <c r="H54" s="1"/>
      <c r="I54" s="8"/>
      <c r="J54" s="8"/>
      <c r="K54" s="3">
        <f t="shared" si="43"/>
        <v>0</v>
      </c>
      <c r="L54" s="3"/>
      <c r="M54" s="4"/>
      <c r="N54" s="4"/>
      <c r="O54" s="1">
        <f t="shared" si="44"/>
        <v>0</v>
      </c>
      <c r="P54" s="1"/>
      <c r="Q54" s="2"/>
      <c r="R54" s="2"/>
      <c r="S54" s="2"/>
      <c r="T54" s="2"/>
      <c r="U54" t="e">
        <f t="shared" si="45"/>
        <v>#DIV/0!</v>
      </c>
      <c r="V54" t="e">
        <f t="shared" si="46"/>
        <v>#DIV/0!</v>
      </c>
      <c r="W54" s="2"/>
      <c r="X54" s="2"/>
      <c r="Y54" s="2"/>
      <c r="Z54" t="e">
        <f t="shared" si="47"/>
        <v>#DIV/0!</v>
      </c>
      <c r="AE54" s="1">
        <v>287</v>
      </c>
    </row>
    <row r="55" spans="1:31" ht="12.75">
      <c r="A55" s="2"/>
      <c r="B55" s="2"/>
      <c r="C55" s="2"/>
      <c r="D55" s="2"/>
      <c r="E55" t="e">
        <f t="shared" si="40"/>
        <v>#DIV/0!</v>
      </c>
      <c r="F55" t="e">
        <f t="shared" si="41"/>
        <v>#DIV/0!</v>
      </c>
      <c r="G55" s="1" t="e">
        <f t="shared" si="42"/>
        <v>#DIV/0!</v>
      </c>
      <c r="H55" s="1"/>
      <c r="I55" s="8"/>
      <c r="J55" s="8"/>
      <c r="K55" s="3">
        <f t="shared" si="43"/>
        <v>0</v>
      </c>
      <c r="L55" s="3"/>
      <c r="M55" s="4"/>
      <c r="N55" s="4"/>
      <c r="O55" s="1">
        <f t="shared" si="44"/>
        <v>0</v>
      </c>
      <c r="P55" s="1"/>
      <c r="Q55" s="2"/>
      <c r="R55" s="2"/>
      <c r="S55" s="2"/>
      <c r="T55" s="2"/>
      <c r="U55" t="e">
        <f t="shared" si="45"/>
        <v>#DIV/0!</v>
      </c>
      <c r="V55" t="e">
        <f t="shared" si="46"/>
        <v>#DIV/0!</v>
      </c>
      <c r="W55" s="2"/>
      <c r="X55" s="2"/>
      <c r="Y55" s="2"/>
      <c r="Z55" t="e">
        <f t="shared" si="47"/>
        <v>#DIV/0!</v>
      </c>
      <c r="AE55" s="1" t="s">
        <v>24</v>
      </c>
    </row>
    <row r="56" spans="1:31" ht="12.75">
      <c r="A56" s="2"/>
      <c r="B56" s="2"/>
      <c r="C56" s="2"/>
      <c r="D56" s="2"/>
      <c r="E56" t="e">
        <f t="shared" si="40"/>
        <v>#DIV/0!</v>
      </c>
      <c r="F56" t="e">
        <f t="shared" si="41"/>
        <v>#DIV/0!</v>
      </c>
      <c r="G56" s="1" t="e">
        <f t="shared" si="42"/>
        <v>#DIV/0!</v>
      </c>
      <c r="H56" s="1"/>
      <c r="I56" s="8"/>
      <c r="J56" s="8"/>
      <c r="K56" s="3">
        <f t="shared" si="43"/>
        <v>0</v>
      </c>
      <c r="L56" s="3"/>
      <c r="M56" s="4"/>
      <c r="N56" s="4"/>
      <c r="O56" s="1">
        <f t="shared" si="44"/>
        <v>0</v>
      </c>
      <c r="P56" s="1"/>
      <c r="Q56" s="2"/>
      <c r="R56" s="2"/>
      <c r="S56" s="2"/>
      <c r="T56" s="2"/>
      <c r="U56" t="e">
        <f t="shared" si="45"/>
        <v>#DIV/0!</v>
      </c>
      <c r="V56" t="e">
        <f t="shared" si="46"/>
        <v>#DIV/0!</v>
      </c>
      <c r="W56" s="2"/>
      <c r="X56" s="2"/>
      <c r="Y56" t="e">
        <f>U56/W56*10</f>
        <v>#DIV/0!</v>
      </c>
      <c r="Z56" t="e">
        <f t="shared" si="47"/>
        <v>#DIV/0!</v>
      </c>
      <c r="AE56" s="1"/>
    </row>
    <row r="57" spans="1:26" ht="12.75">
      <c r="A57" s="2"/>
      <c r="B57" s="2"/>
      <c r="C57" s="2"/>
      <c r="D57" s="2"/>
      <c r="E57" t="e">
        <f t="shared" si="40"/>
        <v>#DIV/0!</v>
      </c>
      <c r="F57" t="e">
        <f t="shared" si="41"/>
        <v>#DIV/0!</v>
      </c>
      <c r="G57" s="1" t="e">
        <f t="shared" si="42"/>
        <v>#DIV/0!</v>
      </c>
      <c r="H57" s="1"/>
      <c r="I57" s="8"/>
      <c r="J57" s="8"/>
      <c r="K57" s="3">
        <f t="shared" si="43"/>
        <v>0</v>
      </c>
      <c r="L57" s="3"/>
      <c r="M57" s="4"/>
      <c r="N57" s="4"/>
      <c r="O57" s="1">
        <f t="shared" si="44"/>
        <v>0</v>
      </c>
      <c r="P57" s="1"/>
      <c r="Q57" s="2"/>
      <c r="R57" s="2"/>
      <c r="S57" s="2"/>
      <c r="T57" s="2"/>
      <c r="U57" t="e">
        <f t="shared" si="45"/>
        <v>#DIV/0!</v>
      </c>
      <c r="V57" t="e">
        <f t="shared" si="46"/>
        <v>#DIV/0!</v>
      </c>
      <c r="W57" s="2"/>
      <c r="X57" s="2"/>
      <c r="Y57" t="e">
        <f>U57/W57*10</f>
        <v>#DIV/0!</v>
      </c>
      <c r="Z57" t="e">
        <f t="shared" si="47"/>
        <v>#DIV/0!</v>
      </c>
    </row>
    <row r="58" spans="1:26" ht="12.75">
      <c r="A58" s="2"/>
      <c r="B58" s="2"/>
      <c r="C58" s="2"/>
      <c r="D58" s="2"/>
      <c r="E58" t="e">
        <f t="shared" si="40"/>
        <v>#DIV/0!</v>
      </c>
      <c r="F58" t="e">
        <f t="shared" si="41"/>
        <v>#DIV/0!</v>
      </c>
      <c r="G58" s="1" t="e">
        <f t="shared" si="42"/>
        <v>#DIV/0!</v>
      </c>
      <c r="H58" s="1"/>
      <c r="I58" s="8"/>
      <c r="J58" s="8"/>
      <c r="K58" s="3">
        <f t="shared" si="43"/>
        <v>0</v>
      </c>
      <c r="L58" s="3"/>
      <c r="M58" s="4"/>
      <c r="N58" s="4"/>
      <c r="O58" s="1">
        <f t="shared" si="44"/>
        <v>0</v>
      </c>
      <c r="P58" s="1"/>
      <c r="Q58" s="2"/>
      <c r="R58" s="2"/>
      <c r="S58" s="2"/>
      <c r="T58" s="2"/>
      <c r="U58" t="e">
        <f t="shared" si="45"/>
        <v>#DIV/0!</v>
      </c>
      <c r="V58" t="e">
        <f t="shared" si="46"/>
        <v>#DIV/0!</v>
      </c>
      <c r="W58" s="2"/>
      <c r="X58" s="2"/>
      <c r="Y58" t="e">
        <f>U58/W58*10</f>
        <v>#DIV/0!</v>
      </c>
      <c r="Z58" t="e">
        <f t="shared" si="47"/>
        <v>#DIV/0!</v>
      </c>
    </row>
    <row r="59" spans="1:26" ht="12.75">
      <c r="A59" s="2"/>
      <c r="B59" s="2"/>
      <c r="C59" s="2"/>
      <c r="D59" s="2"/>
      <c r="E59" t="e">
        <f t="shared" si="40"/>
        <v>#DIV/0!</v>
      </c>
      <c r="F59" t="e">
        <f t="shared" si="41"/>
        <v>#DIV/0!</v>
      </c>
      <c r="G59" s="1" t="e">
        <f t="shared" si="42"/>
        <v>#DIV/0!</v>
      </c>
      <c r="H59" s="1"/>
      <c r="I59" s="8"/>
      <c r="J59" s="8"/>
      <c r="K59" s="3">
        <f t="shared" si="43"/>
        <v>0</v>
      </c>
      <c r="L59" s="3"/>
      <c r="M59" s="4"/>
      <c r="N59" s="4"/>
      <c r="O59" s="1">
        <f t="shared" si="44"/>
        <v>0</v>
      </c>
      <c r="P59" s="1"/>
      <c r="Q59" s="2"/>
      <c r="R59" s="2"/>
      <c r="S59" s="2"/>
      <c r="T59" s="2"/>
      <c r="U59" t="e">
        <f t="shared" si="45"/>
        <v>#DIV/0!</v>
      </c>
      <c r="V59" t="e">
        <f t="shared" si="46"/>
        <v>#DIV/0!</v>
      </c>
      <c r="W59" s="2"/>
      <c r="X59" s="2"/>
      <c r="Y59" t="e">
        <f>U59/W59*10</f>
        <v>#DIV/0!</v>
      </c>
      <c r="Z59" t="e">
        <f t="shared" si="47"/>
        <v>#DIV/0!</v>
      </c>
    </row>
    <row r="60" spans="1:28" ht="15.75">
      <c r="A60" s="7" t="s">
        <v>45</v>
      </c>
      <c r="B60">
        <f>SUM(B52:B59)</f>
        <v>99.99999999999999</v>
      </c>
      <c r="C60">
        <f>SUM(C52:C59)</f>
        <v>3</v>
      </c>
      <c r="G60" s="1" t="e">
        <f>SUM(G52:G59)</f>
        <v>#DIV/0!</v>
      </c>
      <c r="H60" s="1"/>
      <c r="I60" s="8"/>
      <c r="J60" s="8"/>
      <c r="K60" s="3">
        <f>SUM(K52:K59)</f>
        <v>30.101799999999997</v>
      </c>
      <c r="L60" s="3"/>
      <c r="M60" s="3"/>
      <c r="N60" s="3"/>
      <c r="O60" s="1">
        <f>SUM(O52:O59)</f>
        <v>100</v>
      </c>
      <c r="P60" s="1"/>
      <c r="U60" t="str">
        <f>A60</f>
        <v>Elastosil</v>
      </c>
      <c r="V60" s="5">
        <f>W60*Z60/10</f>
        <v>33.37920217033368</v>
      </c>
      <c r="W60" s="6">
        <v>1.2</v>
      </c>
      <c r="Y60" t="str">
        <f>U60</f>
        <v>Elastosil</v>
      </c>
      <c r="Z60" s="5">
        <f>1/AB60</f>
        <v>278.160018086114</v>
      </c>
      <c r="AA60" t="str">
        <f>U60</f>
        <v>Elastosil</v>
      </c>
      <c r="AB60">
        <f>SUM(AA52:AB59)</f>
        <v>0.0035950529730351673</v>
      </c>
    </row>
    <row r="62" spans="1:27" ht="12.75">
      <c r="A62" t="s">
        <v>47</v>
      </c>
      <c r="AA62" t="s">
        <v>33</v>
      </c>
    </row>
    <row r="63" spans="1:28" ht="12.75">
      <c r="A63" t="s">
        <v>8</v>
      </c>
      <c r="B63" t="s">
        <v>9</v>
      </c>
      <c r="C63" t="s">
        <v>10</v>
      </c>
      <c r="D63" t="s">
        <v>11</v>
      </c>
      <c r="E63" t="s">
        <v>12</v>
      </c>
      <c r="F63" t="s">
        <v>13</v>
      </c>
      <c r="G63" s="1" t="s">
        <v>17</v>
      </c>
      <c r="H63" s="1"/>
      <c r="I63" s="8"/>
      <c r="J63" s="8"/>
      <c r="K63" s="3" t="s">
        <v>14</v>
      </c>
      <c r="L63" s="3"/>
      <c r="M63" s="3"/>
      <c r="N63" s="3"/>
      <c r="O63" s="1" t="s">
        <v>14</v>
      </c>
      <c r="P63" s="1"/>
      <c r="Q63" t="s">
        <v>21</v>
      </c>
      <c r="R63" t="s">
        <v>22</v>
      </c>
      <c r="S63" t="s">
        <v>19</v>
      </c>
      <c r="T63" t="s">
        <v>20</v>
      </c>
      <c r="U63" t="s">
        <v>25</v>
      </c>
      <c r="V63" t="s">
        <v>26</v>
      </c>
      <c r="W63" t="s">
        <v>28</v>
      </c>
      <c r="X63" t="s">
        <v>27</v>
      </c>
      <c r="Y63" t="s">
        <v>29</v>
      </c>
      <c r="Z63" t="s">
        <v>30</v>
      </c>
      <c r="AA63" t="s">
        <v>32</v>
      </c>
      <c r="AB63" t="s">
        <v>31</v>
      </c>
    </row>
    <row r="64" spans="1:31" ht="12.75">
      <c r="A64" s="2" t="s">
        <v>1</v>
      </c>
      <c r="B64" s="2">
        <v>80</v>
      </c>
      <c r="C64" s="2">
        <v>1</v>
      </c>
      <c r="D64" s="2">
        <v>2</v>
      </c>
      <c r="E64">
        <f>C64/(C64+D64)</f>
        <v>0.3333333333333333</v>
      </c>
      <c r="F64">
        <f>D64/(C64+D64)</f>
        <v>0.6666666666666666</v>
      </c>
      <c r="G64" s="1">
        <f>B64*E64</f>
        <v>26.666666666666664</v>
      </c>
      <c r="H64" s="1"/>
      <c r="I64" s="8"/>
      <c r="J64" s="8"/>
      <c r="K64" s="3">
        <f>C64*S64</f>
        <v>28.086</v>
      </c>
      <c r="L64" s="3"/>
      <c r="M64" s="4"/>
      <c r="N64" s="4"/>
      <c r="O64" s="1">
        <f>K64/$K$72*100</f>
        <v>29.35286986330003</v>
      </c>
      <c r="P64" s="1"/>
      <c r="Q64" s="2">
        <v>14</v>
      </c>
      <c r="R64" s="2">
        <v>8</v>
      </c>
      <c r="S64" s="2">
        <v>28.086</v>
      </c>
      <c r="T64" s="2">
        <v>15.9994</v>
      </c>
      <c r="U64">
        <f aca="true" t="shared" si="48" ref="U64:V66">$AE$4*S64/(Q64*(Q64+1)*LN($AE$5/SQRT(Q64)))</f>
        <v>22.077052607193384</v>
      </c>
      <c r="V64">
        <f t="shared" si="48"/>
        <v>34.45936157051221</v>
      </c>
      <c r="W64" s="2">
        <v>2.33</v>
      </c>
      <c r="X64" s="2">
        <v>1.141</v>
      </c>
      <c r="Y64">
        <f>U64/W64*10</f>
        <v>94.75129874331924</v>
      </c>
      <c r="Z64">
        <f>V64/X64*10</f>
        <v>302.01018028494485</v>
      </c>
      <c r="AA64">
        <f aca="true" t="shared" si="49" ref="AA64:AB66">G64/Y64/100</f>
        <v>0.002814385345672836</v>
      </c>
      <c r="AB64">
        <f t="shared" si="49"/>
        <v>0</v>
      </c>
      <c r="AE64" s="1" t="s">
        <v>23</v>
      </c>
    </row>
    <row r="65" spans="1:31" ht="12.75">
      <c r="A65" s="2" t="s">
        <v>2</v>
      </c>
      <c r="B65" s="2">
        <v>12</v>
      </c>
      <c r="C65" s="2">
        <v>2</v>
      </c>
      <c r="D65" s="2">
        <v>3</v>
      </c>
      <c r="E65">
        <f aca="true" t="shared" si="50" ref="E65:E71">C65/(C65+D65)</f>
        <v>0.4</v>
      </c>
      <c r="F65">
        <f aca="true" t="shared" si="51" ref="F65:F71">D65/(C65+D65)</f>
        <v>0.6</v>
      </c>
      <c r="G65" s="1">
        <f aca="true" t="shared" si="52" ref="G65:G71">B65*E65</f>
        <v>4.800000000000001</v>
      </c>
      <c r="H65" s="1"/>
      <c r="I65" s="8"/>
      <c r="J65" s="8"/>
      <c r="K65" s="3">
        <f aca="true" t="shared" si="53" ref="K65:K71">C65*S65</f>
        <v>21.62</v>
      </c>
      <c r="L65" s="3"/>
      <c r="M65" s="4"/>
      <c r="N65" s="4"/>
      <c r="O65" s="1">
        <f aca="true" t="shared" si="54" ref="O65:O71">K65/$K$72*100</f>
        <v>22.595209230383347</v>
      </c>
      <c r="P65" s="1"/>
      <c r="Q65" s="2">
        <v>5</v>
      </c>
      <c r="R65" s="2">
        <v>8</v>
      </c>
      <c r="S65" s="2">
        <v>10.81</v>
      </c>
      <c r="T65" s="2">
        <v>15.9994</v>
      </c>
      <c r="U65">
        <f t="shared" si="48"/>
        <v>53.1730974713529</v>
      </c>
      <c r="V65">
        <f t="shared" si="48"/>
        <v>34.45936157051221</v>
      </c>
      <c r="W65" s="2">
        <v>2.3702204228520016</v>
      </c>
      <c r="X65" s="2">
        <v>1.141</v>
      </c>
      <c r="Y65">
        <f aca="true" t="shared" si="55" ref="Y65:Y71">U65/W65*10</f>
        <v>224.3381963917584</v>
      </c>
      <c r="Z65">
        <f aca="true" t="shared" si="56" ref="Z65:Z71">V65/X65*10</f>
        <v>302.01018028494485</v>
      </c>
      <c r="AA65">
        <f t="shared" si="49"/>
        <v>0.00021396267230471236</v>
      </c>
      <c r="AB65">
        <f t="shared" si="49"/>
        <v>0</v>
      </c>
      <c r="AE65" s="1">
        <v>716.4</v>
      </c>
    </row>
    <row r="66" spans="1:31" ht="12.75">
      <c r="A66" s="2" t="s">
        <v>4</v>
      </c>
      <c r="B66" s="2">
        <v>5</v>
      </c>
      <c r="C66" s="2">
        <v>2</v>
      </c>
      <c r="D66" s="2">
        <v>1</v>
      </c>
      <c r="E66">
        <f t="shared" si="50"/>
        <v>0.6666666666666666</v>
      </c>
      <c r="F66">
        <f t="shared" si="51"/>
        <v>0.3333333333333333</v>
      </c>
      <c r="G66" s="1">
        <f t="shared" si="52"/>
        <v>3.333333333333333</v>
      </c>
      <c r="H66" s="1"/>
      <c r="I66" s="8"/>
      <c r="J66" s="8"/>
      <c r="K66" s="3">
        <f t="shared" si="53"/>
        <v>45.978</v>
      </c>
      <c r="L66" s="3"/>
      <c r="M66" s="4"/>
      <c r="N66" s="4"/>
      <c r="O66" s="1">
        <f t="shared" si="54"/>
        <v>48.05192090631663</v>
      </c>
      <c r="P66" s="1"/>
      <c r="Q66" s="2">
        <v>11</v>
      </c>
      <c r="R66" s="2">
        <v>8</v>
      </c>
      <c r="S66" s="2">
        <v>22.989</v>
      </c>
      <c r="T66" s="2">
        <v>15.9994</v>
      </c>
      <c r="U66">
        <f t="shared" si="48"/>
        <v>27.971439411004912</v>
      </c>
      <c r="V66">
        <f t="shared" si="48"/>
        <v>34.45936157051221</v>
      </c>
      <c r="W66" s="2">
        <v>0.9712885154061625</v>
      </c>
      <c r="X66" s="2">
        <v>1.141</v>
      </c>
      <c r="Y66">
        <f t="shared" si="55"/>
        <v>287.98280806715945</v>
      </c>
      <c r="Z66">
        <f t="shared" si="56"/>
        <v>302.01018028494485</v>
      </c>
      <c r="AA66">
        <f t="shared" si="49"/>
        <v>0.000115747650205424</v>
      </c>
      <c r="AB66">
        <f t="shared" si="49"/>
        <v>0</v>
      </c>
      <c r="AE66" s="1">
        <v>287</v>
      </c>
    </row>
    <row r="67" spans="1:31" ht="12.75">
      <c r="A67" s="2"/>
      <c r="B67" s="2"/>
      <c r="C67" s="2"/>
      <c r="D67" s="2"/>
      <c r="E67" t="e">
        <f t="shared" si="50"/>
        <v>#DIV/0!</v>
      </c>
      <c r="F67" t="e">
        <f t="shared" si="51"/>
        <v>#DIV/0!</v>
      </c>
      <c r="G67" s="1" t="e">
        <f t="shared" si="52"/>
        <v>#DIV/0!</v>
      </c>
      <c r="H67" s="1"/>
      <c r="I67" s="8"/>
      <c r="J67" s="8"/>
      <c r="K67" s="3">
        <f t="shared" si="53"/>
        <v>0</v>
      </c>
      <c r="L67" s="3"/>
      <c r="M67" s="4"/>
      <c r="N67" s="4"/>
      <c r="O67" s="1">
        <f t="shared" si="54"/>
        <v>0</v>
      </c>
      <c r="P67" s="1"/>
      <c r="Q67" s="2"/>
      <c r="R67" s="2"/>
      <c r="S67" s="2"/>
      <c r="T67" s="2"/>
      <c r="W67" s="2"/>
      <c r="X67" s="2"/>
      <c r="Y67" t="e">
        <f t="shared" si="55"/>
        <v>#DIV/0!</v>
      </c>
      <c r="Z67" t="e">
        <f t="shared" si="56"/>
        <v>#DIV/0!</v>
      </c>
      <c r="AE67" s="1" t="s">
        <v>24</v>
      </c>
    </row>
    <row r="68" spans="1:31" ht="12.75">
      <c r="A68" s="2"/>
      <c r="B68" s="2"/>
      <c r="C68" s="2"/>
      <c r="D68" s="2"/>
      <c r="E68" t="e">
        <f t="shared" si="50"/>
        <v>#DIV/0!</v>
      </c>
      <c r="F68" t="e">
        <f t="shared" si="51"/>
        <v>#DIV/0!</v>
      </c>
      <c r="G68" s="1" t="e">
        <f t="shared" si="52"/>
        <v>#DIV/0!</v>
      </c>
      <c r="H68" s="1"/>
      <c r="I68" s="8"/>
      <c r="J68" s="8"/>
      <c r="K68" s="3">
        <f t="shared" si="53"/>
        <v>0</v>
      </c>
      <c r="L68" s="3"/>
      <c r="M68" s="4"/>
      <c r="N68" s="4"/>
      <c r="O68" s="1">
        <f t="shared" si="54"/>
        <v>0</v>
      </c>
      <c r="P68" s="1"/>
      <c r="Q68" s="2"/>
      <c r="R68" s="2"/>
      <c r="S68" s="2"/>
      <c r="T68" s="2"/>
      <c r="W68" s="2"/>
      <c r="X68" s="2"/>
      <c r="Y68" t="e">
        <f t="shared" si="55"/>
        <v>#DIV/0!</v>
      </c>
      <c r="Z68" t="e">
        <f t="shared" si="56"/>
        <v>#DIV/0!</v>
      </c>
      <c r="AE68" s="1"/>
    </row>
    <row r="69" spans="1:26" ht="12.75">
      <c r="A69" s="2"/>
      <c r="B69" s="2"/>
      <c r="C69" s="2"/>
      <c r="D69" s="2"/>
      <c r="E69" t="e">
        <f t="shared" si="50"/>
        <v>#DIV/0!</v>
      </c>
      <c r="F69" t="e">
        <f t="shared" si="51"/>
        <v>#DIV/0!</v>
      </c>
      <c r="G69" s="1" t="e">
        <f t="shared" si="52"/>
        <v>#DIV/0!</v>
      </c>
      <c r="H69" s="1"/>
      <c r="I69" s="8"/>
      <c r="J69" s="8"/>
      <c r="K69" s="3">
        <f t="shared" si="53"/>
        <v>0</v>
      </c>
      <c r="L69" s="3"/>
      <c r="M69" s="4"/>
      <c r="N69" s="4"/>
      <c r="O69" s="1">
        <f t="shared" si="54"/>
        <v>0</v>
      </c>
      <c r="P69" s="1"/>
      <c r="Q69" s="2"/>
      <c r="R69" s="2"/>
      <c r="S69" s="2"/>
      <c r="T69" s="2"/>
      <c r="W69" s="2"/>
      <c r="X69" s="2"/>
      <c r="Y69" t="e">
        <f t="shared" si="55"/>
        <v>#DIV/0!</v>
      </c>
      <c r="Z69" t="e">
        <f t="shared" si="56"/>
        <v>#DIV/0!</v>
      </c>
    </row>
    <row r="70" spans="1:26" ht="12.75">
      <c r="A70" s="2"/>
      <c r="B70" s="2"/>
      <c r="C70" s="2"/>
      <c r="D70" s="2"/>
      <c r="E70" t="e">
        <f t="shared" si="50"/>
        <v>#DIV/0!</v>
      </c>
      <c r="F70" t="e">
        <f t="shared" si="51"/>
        <v>#DIV/0!</v>
      </c>
      <c r="G70" s="1" t="e">
        <f t="shared" si="52"/>
        <v>#DIV/0!</v>
      </c>
      <c r="H70" s="1"/>
      <c r="I70" s="8"/>
      <c r="J70" s="8"/>
      <c r="K70" s="3">
        <f t="shared" si="53"/>
        <v>0</v>
      </c>
      <c r="L70" s="3"/>
      <c r="M70" s="4"/>
      <c r="N70" s="4"/>
      <c r="O70" s="1">
        <f t="shared" si="54"/>
        <v>0</v>
      </c>
      <c r="P70" s="1"/>
      <c r="Q70" s="2"/>
      <c r="R70" s="2"/>
      <c r="S70" s="2"/>
      <c r="T70" s="2"/>
      <c r="W70" s="2"/>
      <c r="X70" s="2"/>
      <c r="Y70" t="e">
        <f t="shared" si="55"/>
        <v>#DIV/0!</v>
      </c>
      <c r="Z70" t="e">
        <f t="shared" si="56"/>
        <v>#DIV/0!</v>
      </c>
    </row>
    <row r="71" spans="1:26" ht="12.75">
      <c r="A71" s="2"/>
      <c r="B71" s="2"/>
      <c r="C71" s="2"/>
      <c r="D71" s="2"/>
      <c r="E71" t="e">
        <f t="shared" si="50"/>
        <v>#DIV/0!</v>
      </c>
      <c r="F71" t="e">
        <f t="shared" si="51"/>
        <v>#DIV/0!</v>
      </c>
      <c r="G71" s="1" t="e">
        <f t="shared" si="52"/>
        <v>#DIV/0!</v>
      </c>
      <c r="H71" s="1"/>
      <c r="I71" s="8"/>
      <c r="J71" s="8"/>
      <c r="K71" s="3">
        <f t="shared" si="53"/>
        <v>0</v>
      </c>
      <c r="L71" s="3"/>
      <c r="M71" s="4"/>
      <c r="N71" s="4"/>
      <c r="O71" s="1">
        <f t="shared" si="54"/>
        <v>0</v>
      </c>
      <c r="P71" s="1"/>
      <c r="Q71" s="2"/>
      <c r="R71" s="2"/>
      <c r="S71" s="2"/>
      <c r="T71" s="2"/>
      <c r="W71" s="2"/>
      <c r="X71" s="2"/>
      <c r="Y71" t="e">
        <f t="shared" si="55"/>
        <v>#DIV/0!</v>
      </c>
      <c r="Z71" t="e">
        <f t="shared" si="56"/>
        <v>#DIV/0!</v>
      </c>
    </row>
    <row r="72" spans="1:28" ht="12.75">
      <c r="A72" t="s">
        <v>48</v>
      </c>
      <c r="B72">
        <f>SUM(B64:B71)</f>
        <v>97</v>
      </c>
      <c r="G72" s="1" t="e">
        <f>SUM(G64:G71)</f>
        <v>#DIV/0!</v>
      </c>
      <c r="H72" s="1"/>
      <c r="I72" s="8"/>
      <c r="J72" s="8"/>
      <c r="K72" s="3">
        <f>SUM(K64:K71)</f>
        <v>95.684</v>
      </c>
      <c r="L72" s="3"/>
      <c r="M72" s="3"/>
      <c r="N72" s="3"/>
      <c r="O72" s="1">
        <f>SUM(O64:O71)</f>
        <v>100</v>
      </c>
      <c r="P72" s="1"/>
      <c r="U72" t="str">
        <f>A72</f>
        <v>GlassD263-2</v>
      </c>
      <c r="V72" s="5">
        <f>W72*Z72/10</f>
        <v>70.9265949686816</v>
      </c>
      <c r="W72" s="6">
        <v>2.23</v>
      </c>
      <c r="Y72" t="str">
        <f>U72</f>
        <v>GlassD263-2</v>
      </c>
      <c r="Z72" s="5">
        <f>1/AB72</f>
        <v>318.05647968018656</v>
      </c>
      <c r="AA72" t="str">
        <f>U72</f>
        <v>GlassD263-2</v>
      </c>
      <c r="AB72">
        <f>SUM(AA64:AB71)</f>
        <v>0.003144095668182972</v>
      </c>
    </row>
    <row r="74" spans="1:27" ht="15.75">
      <c r="A74" s="7" t="s">
        <v>49</v>
      </c>
      <c r="AA74" t="s">
        <v>33</v>
      </c>
    </row>
    <row r="75" spans="1:28" ht="12.75">
      <c r="A75" t="s">
        <v>8</v>
      </c>
      <c r="B75" t="s">
        <v>9</v>
      </c>
      <c r="C75" t="s">
        <v>10</v>
      </c>
      <c r="D75" t="s">
        <v>11</v>
      </c>
      <c r="E75" t="s">
        <v>12</v>
      </c>
      <c r="F75" t="s">
        <v>13</v>
      </c>
      <c r="G75" s="1" t="s">
        <v>17</v>
      </c>
      <c r="H75" s="1"/>
      <c r="I75" s="8"/>
      <c r="J75" s="8"/>
      <c r="K75" s="3" t="s">
        <v>14</v>
      </c>
      <c r="L75" s="3"/>
      <c r="M75" s="3"/>
      <c r="N75" s="3"/>
      <c r="O75" s="1" t="s">
        <v>14</v>
      </c>
      <c r="P75" s="1"/>
      <c r="Q75" t="s">
        <v>21</v>
      </c>
      <c r="R75" t="s">
        <v>22</v>
      </c>
      <c r="S75" t="s">
        <v>19</v>
      </c>
      <c r="T75" t="s">
        <v>20</v>
      </c>
      <c r="U75" t="s">
        <v>25</v>
      </c>
      <c r="V75" t="s">
        <v>26</v>
      </c>
      <c r="W75" t="s">
        <v>28</v>
      </c>
      <c r="X75" t="s">
        <v>27</v>
      </c>
      <c r="Y75" t="s">
        <v>29</v>
      </c>
      <c r="Z75" t="s">
        <v>30</v>
      </c>
      <c r="AA75" t="s">
        <v>32</v>
      </c>
      <c r="AB75" t="s">
        <v>31</v>
      </c>
    </row>
    <row r="76" spans="1:31" ht="12.75">
      <c r="A76" s="2" t="s">
        <v>50</v>
      </c>
      <c r="B76" s="2">
        <v>44</v>
      </c>
      <c r="C76" s="2">
        <v>1</v>
      </c>
      <c r="D76" s="2"/>
      <c r="E76">
        <f>C76/(C76+D76)</f>
        <v>1</v>
      </c>
      <c r="F76">
        <f>D76/(C76+D76)</f>
        <v>0</v>
      </c>
      <c r="G76" s="1">
        <f>B76*E76</f>
        <v>44</v>
      </c>
      <c r="H76" s="1"/>
      <c r="I76" s="8"/>
      <c r="J76" s="8"/>
      <c r="K76" s="3">
        <f>C76*S76</f>
        <v>0</v>
      </c>
      <c r="L76" s="3"/>
      <c r="M76" s="4"/>
      <c r="N76" s="4"/>
      <c r="O76" s="1">
        <f>K76/$K$24*100</f>
        <v>0</v>
      </c>
      <c r="P76" s="1"/>
      <c r="Q76" s="2"/>
      <c r="R76" s="2"/>
      <c r="S76" s="2"/>
      <c r="T76" s="2"/>
      <c r="U76" t="e">
        <f>$AE$4*S76/(Q76*(Q76+1)*LN($AE$5/SQRT(Q76)))</f>
        <v>#DIV/0!</v>
      </c>
      <c r="V76">
        <f>V36</f>
        <v>43.22185002335378</v>
      </c>
      <c r="W76" s="2">
        <f>W36</f>
        <v>1.2</v>
      </c>
      <c r="X76" s="2"/>
      <c r="Y76">
        <f>Z36</f>
        <v>360.1820835279482</v>
      </c>
      <c r="Z76" t="e">
        <f>V76/X76*10</f>
        <v>#DIV/0!</v>
      </c>
      <c r="AA76">
        <f>G76/Y76/100</f>
        <v>0.0012216043499172506</v>
      </c>
      <c r="AE76" s="1" t="s">
        <v>23</v>
      </c>
    </row>
    <row r="77" spans="1:31" ht="12.75">
      <c r="A77" s="2" t="s">
        <v>51</v>
      </c>
      <c r="B77" s="2">
        <v>56</v>
      </c>
      <c r="C77" s="2">
        <v>1</v>
      </c>
      <c r="D77" s="2"/>
      <c r="E77">
        <f aca="true" t="shared" si="57" ref="E77:E83">C77/(C77+D77)</f>
        <v>1</v>
      </c>
      <c r="F77">
        <f aca="true" t="shared" si="58" ref="F77:F83">D77/(C77+D77)</f>
        <v>0</v>
      </c>
      <c r="G77" s="1">
        <f aca="true" t="shared" si="59" ref="G77:G83">B77*E77</f>
        <v>56</v>
      </c>
      <c r="H77" s="1"/>
      <c r="I77" s="8"/>
      <c r="J77" s="8"/>
      <c r="K77" s="3">
        <f aca="true" t="shared" si="60" ref="K77:K83">C77*S77</f>
        <v>0</v>
      </c>
      <c r="L77" s="3"/>
      <c r="M77" s="4"/>
      <c r="N77" s="4"/>
      <c r="O77" s="1">
        <f aca="true" t="shared" si="61" ref="O77:O83">K77/$K$24*100</f>
        <v>0</v>
      </c>
      <c r="P77" s="1"/>
      <c r="Q77" s="2"/>
      <c r="R77" s="2"/>
      <c r="S77" s="2"/>
      <c r="T77" s="2"/>
      <c r="U77" t="e">
        <f aca="true" t="shared" si="62" ref="U77:U83">$AE$4*S77/(Q77*(Q77+1)*LN($AE$5/SQRT(Q77)))</f>
        <v>#DIV/0!</v>
      </c>
      <c r="V77">
        <f>V11</f>
        <v>35.77432560658265</v>
      </c>
      <c r="W77" s="2">
        <f>W11</f>
        <v>2.51</v>
      </c>
      <c r="X77" s="2"/>
      <c r="Y77" s="2">
        <f>Z11</f>
        <v>142.5271936517237</v>
      </c>
      <c r="Z77" t="e">
        <f aca="true" t="shared" si="63" ref="Z77:Z83">V77/X77*10</f>
        <v>#DIV/0!</v>
      </c>
      <c r="AA77">
        <f>G77/Y77/100</f>
        <v>0.003929074765678778</v>
      </c>
      <c r="AE77" s="1">
        <v>716.4</v>
      </c>
    </row>
    <row r="78" spans="1:31" ht="12.75">
      <c r="A78" s="2"/>
      <c r="B78" s="2"/>
      <c r="C78" s="2"/>
      <c r="D78" s="2"/>
      <c r="E78" t="e">
        <f t="shared" si="57"/>
        <v>#DIV/0!</v>
      </c>
      <c r="F78" t="e">
        <f t="shared" si="58"/>
        <v>#DIV/0!</v>
      </c>
      <c r="G78" s="1" t="e">
        <f t="shared" si="59"/>
        <v>#DIV/0!</v>
      </c>
      <c r="H78" s="1"/>
      <c r="I78" s="8"/>
      <c r="J78" s="8"/>
      <c r="K78" s="3">
        <f t="shared" si="60"/>
        <v>0</v>
      </c>
      <c r="L78" s="3"/>
      <c r="M78" s="4"/>
      <c r="N78" s="4"/>
      <c r="O78" s="1">
        <f t="shared" si="61"/>
        <v>0</v>
      </c>
      <c r="P78" s="1"/>
      <c r="Q78" s="2"/>
      <c r="R78" s="2"/>
      <c r="S78" s="2"/>
      <c r="T78" s="2"/>
      <c r="U78" t="e">
        <f t="shared" si="62"/>
        <v>#DIV/0!</v>
      </c>
      <c r="V78" t="e">
        <f aca="true" t="shared" si="64" ref="V78:V83">$AE$4*T78/(R78*(R78+1)*LN($AE$5/SQRT(R78)))</f>
        <v>#DIV/0!</v>
      </c>
      <c r="W78" s="2"/>
      <c r="X78" s="2"/>
      <c r="Y78" s="2"/>
      <c r="Z78" t="e">
        <f t="shared" si="63"/>
        <v>#DIV/0!</v>
      </c>
      <c r="AE78" s="1">
        <v>287</v>
      </c>
    </row>
    <row r="79" spans="1:31" ht="12.75">
      <c r="A79" s="2"/>
      <c r="B79" s="2"/>
      <c r="C79" s="2"/>
      <c r="D79" s="2"/>
      <c r="E79" t="e">
        <f t="shared" si="57"/>
        <v>#DIV/0!</v>
      </c>
      <c r="F79" t="e">
        <f t="shared" si="58"/>
        <v>#DIV/0!</v>
      </c>
      <c r="G79" s="1" t="e">
        <f t="shared" si="59"/>
        <v>#DIV/0!</v>
      </c>
      <c r="H79" s="1"/>
      <c r="I79" s="8"/>
      <c r="J79" s="8"/>
      <c r="K79" s="3">
        <f t="shared" si="60"/>
        <v>0</v>
      </c>
      <c r="L79" s="3"/>
      <c r="M79" s="4"/>
      <c r="N79" s="4"/>
      <c r="O79" s="1">
        <f t="shared" si="61"/>
        <v>0</v>
      </c>
      <c r="P79" s="1"/>
      <c r="Q79" s="2"/>
      <c r="R79" s="2"/>
      <c r="S79" s="2"/>
      <c r="T79" s="2"/>
      <c r="U79" t="e">
        <f t="shared" si="62"/>
        <v>#DIV/0!</v>
      </c>
      <c r="V79" t="e">
        <f t="shared" si="64"/>
        <v>#DIV/0!</v>
      </c>
      <c r="W79" s="2"/>
      <c r="X79" s="2"/>
      <c r="Y79" s="2"/>
      <c r="Z79" t="e">
        <f t="shared" si="63"/>
        <v>#DIV/0!</v>
      </c>
      <c r="AE79" s="1" t="s">
        <v>24</v>
      </c>
    </row>
    <row r="80" spans="1:31" ht="12.75">
      <c r="A80" s="2"/>
      <c r="B80" s="2"/>
      <c r="C80" s="2"/>
      <c r="D80" s="2"/>
      <c r="E80" t="e">
        <f t="shared" si="57"/>
        <v>#DIV/0!</v>
      </c>
      <c r="F80" t="e">
        <f t="shared" si="58"/>
        <v>#DIV/0!</v>
      </c>
      <c r="G80" s="1" t="e">
        <f t="shared" si="59"/>
        <v>#DIV/0!</v>
      </c>
      <c r="H80" s="1"/>
      <c r="I80" s="8"/>
      <c r="J80" s="8"/>
      <c r="K80" s="3">
        <f t="shared" si="60"/>
        <v>0</v>
      </c>
      <c r="L80" s="3"/>
      <c r="M80" s="4"/>
      <c r="N80" s="4"/>
      <c r="O80" s="1">
        <f t="shared" si="61"/>
        <v>0</v>
      </c>
      <c r="P80" s="1"/>
      <c r="Q80" s="2"/>
      <c r="R80" s="2"/>
      <c r="S80" s="2"/>
      <c r="T80" s="2"/>
      <c r="U80" t="e">
        <f t="shared" si="62"/>
        <v>#DIV/0!</v>
      </c>
      <c r="V80" t="e">
        <f t="shared" si="64"/>
        <v>#DIV/0!</v>
      </c>
      <c r="W80" s="2"/>
      <c r="X80" s="2"/>
      <c r="Y80" t="e">
        <f>U80/W80*10</f>
        <v>#DIV/0!</v>
      </c>
      <c r="Z80" t="e">
        <f t="shared" si="63"/>
        <v>#DIV/0!</v>
      </c>
      <c r="AE80" s="1"/>
    </row>
    <row r="81" spans="1:26" ht="12.75">
      <c r="A81" s="2"/>
      <c r="B81" s="2"/>
      <c r="C81" s="2"/>
      <c r="D81" s="2"/>
      <c r="E81" t="e">
        <f t="shared" si="57"/>
        <v>#DIV/0!</v>
      </c>
      <c r="F81" t="e">
        <f t="shared" si="58"/>
        <v>#DIV/0!</v>
      </c>
      <c r="G81" s="1" t="e">
        <f t="shared" si="59"/>
        <v>#DIV/0!</v>
      </c>
      <c r="H81" s="1"/>
      <c r="I81" s="8"/>
      <c r="J81" s="8"/>
      <c r="K81" s="3">
        <f t="shared" si="60"/>
        <v>0</v>
      </c>
      <c r="L81" s="3"/>
      <c r="M81" s="4"/>
      <c r="N81" s="4"/>
      <c r="O81" s="1">
        <f t="shared" si="61"/>
        <v>0</v>
      </c>
      <c r="P81" s="1"/>
      <c r="Q81" s="2"/>
      <c r="R81" s="2"/>
      <c r="S81" s="2"/>
      <c r="T81" s="2"/>
      <c r="U81" t="e">
        <f t="shared" si="62"/>
        <v>#DIV/0!</v>
      </c>
      <c r="V81" t="e">
        <f t="shared" si="64"/>
        <v>#DIV/0!</v>
      </c>
      <c r="W81" s="2"/>
      <c r="X81" s="2"/>
      <c r="Y81" t="e">
        <f>U81/W81*10</f>
        <v>#DIV/0!</v>
      </c>
      <c r="Z81" t="e">
        <f t="shared" si="63"/>
        <v>#DIV/0!</v>
      </c>
    </row>
    <row r="82" spans="1:26" ht="12.75">
      <c r="A82" s="2"/>
      <c r="B82" s="2"/>
      <c r="C82" s="2"/>
      <c r="D82" s="2"/>
      <c r="E82" t="e">
        <f t="shared" si="57"/>
        <v>#DIV/0!</v>
      </c>
      <c r="F82" t="e">
        <f t="shared" si="58"/>
        <v>#DIV/0!</v>
      </c>
      <c r="G82" s="1" t="e">
        <f t="shared" si="59"/>
        <v>#DIV/0!</v>
      </c>
      <c r="H82" s="1"/>
      <c r="I82" s="8"/>
      <c r="J82" s="8"/>
      <c r="K82" s="3">
        <f t="shared" si="60"/>
        <v>0</v>
      </c>
      <c r="L82" s="3"/>
      <c r="M82" s="4"/>
      <c r="N82" s="4"/>
      <c r="O82" s="1">
        <f t="shared" si="61"/>
        <v>0</v>
      </c>
      <c r="P82" s="1"/>
      <c r="Q82" s="2"/>
      <c r="R82" s="2"/>
      <c r="S82" s="2"/>
      <c r="T82" s="2"/>
      <c r="U82" t="e">
        <f t="shared" si="62"/>
        <v>#DIV/0!</v>
      </c>
      <c r="V82" t="e">
        <f t="shared" si="64"/>
        <v>#DIV/0!</v>
      </c>
      <c r="W82" s="2"/>
      <c r="X82" s="2"/>
      <c r="Y82" t="e">
        <f>U82/W82*10</f>
        <v>#DIV/0!</v>
      </c>
      <c r="Z82" t="e">
        <f t="shared" si="63"/>
        <v>#DIV/0!</v>
      </c>
    </row>
    <row r="83" spans="1:26" ht="12.75">
      <c r="A83" s="2"/>
      <c r="B83" s="2"/>
      <c r="C83" s="2"/>
      <c r="D83" s="2"/>
      <c r="E83" t="e">
        <f t="shared" si="57"/>
        <v>#DIV/0!</v>
      </c>
      <c r="F83" t="e">
        <f t="shared" si="58"/>
        <v>#DIV/0!</v>
      </c>
      <c r="G83" s="1" t="e">
        <f t="shared" si="59"/>
        <v>#DIV/0!</v>
      </c>
      <c r="H83" s="1"/>
      <c r="I83" s="8"/>
      <c r="J83" s="8"/>
      <c r="K83" s="3">
        <f t="shared" si="60"/>
        <v>0</v>
      </c>
      <c r="L83" s="3"/>
      <c r="M83" s="4"/>
      <c r="N83" s="4"/>
      <c r="O83" s="1">
        <f t="shared" si="61"/>
        <v>0</v>
      </c>
      <c r="P83" s="1"/>
      <c r="Q83" s="2"/>
      <c r="R83" s="2"/>
      <c r="S83" s="2"/>
      <c r="T83" s="2"/>
      <c r="U83" t="e">
        <f t="shared" si="62"/>
        <v>#DIV/0!</v>
      </c>
      <c r="V83" t="e">
        <f t="shared" si="64"/>
        <v>#DIV/0!</v>
      </c>
      <c r="W83" s="2"/>
      <c r="X83" s="2"/>
      <c r="Y83" t="e">
        <f>U83/W83*10</f>
        <v>#DIV/0!</v>
      </c>
      <c r="Z83" t="e">
        <f t="shared" si="63"/>
        <v>#DIV/0!</v>
      </c>
    </row>
    <row r="84" spans="1:28" ht="15.75">
      <c r="A84" s="7" t="s">
        <v>49</v>
      </c>
      <c r="B84">
        <f>SUM(B76:B83)</f>
        <v>100</v>
      </c>
      <c r="C84">
        <f>SUM(C76:C83)</f>
        <v>2</v>
      </c>
      <c r="G84" s="1" t="e">
        <f>SUM(G76:G83)</f>
        <v>#DIV/0!</v>
      </c>
      <c r="H84" s="1"/>
      <c r="I84" s="8"/>
      <c r="J84" s="8"/>
      <c r="K84" s="3">
        <f>SUM(K76:K83)</f>
        <v>0</v>
      </c>
      <c r="L84" s="3"/>
      <c r="M84" s="3"/>
      <c r="N84" s="3"/>
      <c r="O84" s="1">
        <f>SUM(O76:O83)</f>
        <v>0</v>
      </c>
      <c r="P84" s="1"/>
      <c r="U84" t="str">
        <f>A84</f>
        <v>FR4</v>
      </c>
      <c r="V84" s="5">
        <f>W84*Z84/10</f>
        <v>35.91759374794446</v>
      </c>
      <c r="W84" s="6">
        <v>1.85</v>
      </c>
      <c r="Y84" t="str">
        <f>U84</f>
        <v>FR4</v>
      </c>
      <c r="Z84" s="5">
        <f>1/AB84</f>
        <v>194.14915539429435</v>
      </c>
      <c r="AA84" t="str">
        <f>U84</f>
        <v>FR4</v>
      </c>
      <c r="AB84">
        <f>SUM(AA76:AB83)</f>
        <v>0.005150679115596028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49">
      <selection activeCell="A66" sqref="A66:D66"/>
    </sheetView>
  </sheetViews>
  <sheetFormatPr defaultColWidth="9.140625" defaultRowHeight="12.75"/>
  <cols>
    <col min="1" max="1" width="7.8515625" style="16" bestFit="1" customWidth="1"/>
    <col min="2" max="2" width="6.7109375" style="27" bestFit="1" customWidth="1"/>
    <col min="3" max="3" width="12.8515625" style="23" bestFit="1" customWidth="1"/>
    <col min="4" max="5" width="7.8515625" style="23" bestFit="1" customWidth="1"/>
  </cols>
  <sheetData>
    <row r="1" spans="1:11" ht="12.75">
      <c r="A1" s="45" t="s">
        <v>0</v>
      </c>
      <c r="B1" s="45"/>
      <c r="C1" s="45"/>
      <c r="D1" s="45"/>
      <c r="E1" s="45"/>
      <c r="F1" s="31"/>
      <c r="K1" t="s">
        <v>103</v>
      </c>
    </row>
    <row r="2" spans="1:11" ht="12.75">
      <c r="A2" s="20" t="s">
        <v>8</v>
      </c>
      <c r="B2" s="21" t="s">
        <v>59</v>
      </c>
      <c r="C2" s="22" t="s">
        <v>58</v>
      </c>
      <c r="D2" s="22" t="s">
        <v>59</v>
      </c>
      <c r="E2" s="22" t="s">
        <v>60</v>
      </c>
      <c r="F2" s="32"/>
      <c r="J2" t="s">
        <v>73</v>
      </c>
      <c r="K2">
        <f>CompCalc!S4</f>
        <v>63.546</v>
      </c>
    </row>
    <row r="3" spans="1:13" ht="12.75">
      <c r="A3" s="20" t="s">
        <v>1</v>
      </c>
      <c r="B3" s="21">
        <v>64.1</v>
      </c>
      <c r="C3" s="22" t="s">
        <v>46</v>
      </c>
      <c r="D3" s="22">
        <v>21.366666666666664</v>
      </c>
      <c r="E3" s="22">
        <f>F3/$F$12*100</f>
        <v>27.430253414576644</v>
      </c>
      <c r="F3" s="31">
        <f>D3*K4</f>
        <v>600.1041999999999</v>
      </c>
      <c r="G3">
        <f>B3*(K4+2*K7)</f>
        <v>3851.4356799999996</v>
      </c>
      <c r="H3">
        <v>3</v>
      </c>
      <c r="I3">
        <f>G3/H3/100</f>
        <v>12.838118933333332</v>
      </c>
      <c r="J3" t="s">
        <v>39</v>
      </c>
      <c r="K3">
        <f>CompCalc!S5</f>
        <v>12.011</v>
      </c>
      <c r="M3">
        <f>D3*K4</f>
        <v>600.1041999999999</v>
      </c>
    </row>
    <row r="4" spans="1:13" ht="12.75">
      <c r="A4" s="20" t="s">
        <v>2</v>
      </c>
      <c r="B4" s="21">
        <v>8.4</v>
      </c>
      <c r="C4" s="22" t="s">
        <v>52</v>
      </c>
      <c r="D4" s="22">
        <v>3.36</v>
      </c>
      <c r="E4" s="22">
        <f aca="true" t="shared" si="0" ref="E4:E11">F4/$F$12*100</f>
        <v>1.6602294941826559</v>
      </c>
      <c r="F4" s="31">
        <f>D4*K12</f>
        <v>36.321600000000004</v>
      </c>
      <c r="G4">
        <f>B4*(2*K12+3*K7)</f>
        <v>584.7928800000001</v>
      </c>
      <c r="H4">
        <v>5</v>
      </c>
      <c r="I4">
        <f aca="true" t="shared" si="1" ref="I4:I10">G4/H4/100</f>
        <v>1.1695857600000001</v>
      </c>
      <c r="J4" t="s">
        <v>46</v>
      </c>
      <c r="K4">
        <f>CompCalc!S6</f>
        <v>28.086</v>
      </c>
      <c r="M4">
        <f>D4*K12</f>
        <v>36.321600000000004</v>
      </c>
    </row>
    <row r="5" spans="1:13" ht="12.75">
      <c r="A5" s="20" t="s">
        <v>3</v>
      </c>
      <c r="B5" s="21">
        <v>4.2</v>
      </c>
      <c r="C5" s="22" t="s">
        <v>53</v>
      </c>
      <c r="D5" s="22">
        <v>1.68</v>
      </c>
      <c r="E5" s="22">
        <f t="shared" si="0"/>
        <v>2.0719080472961253</v>
      </c>
      <c r="F5" s="31">
        <f>D5*K8</f>
        <v>45.32808</v>
      </c>
      <c r="G5">
        <f>B5*(2*K8+3*K7)</f>
        <v>428.23284</v>
      </c>
      <c r="H5">
        <v>5</v>
      </c>
      <c r="I5">
        <f t="shared" si="1"/>
        <v>0.85646568</v>
      </c>
      <c r="J5" t="s">
        <v>40</v>
      </c>
      <c r="K5">
        <f>CompCalc!S7</f>
        <v>1.0079</v>
      </c>
      <c r="M5">
        <f>D5*K8</f>
        <v>45.32808</v>
      </c>
    </row>
    <row r="6" spans="1:13" ht="12.75">
      <c r="A6" s="20" t="s">
        <v>4</v>
      </c>
      <c r="B6" s="21">
        <v>6.4</v>
      </c>
      <c r="C6" s="22" t="s">
        <v>54</v>
      </c>
      <c r="D6" s="22">
        <v>4.266666666666667</v>
      </c>
      <c r="E6" s="22">
        <f t="shared" si="0"/>
        <v>4.483446055740871</v>
      </c>
      <c r="F6" s="31">
        <f>D6*K13</f>
        <v>98.0864</v>
      </c>
      <c r="G6">
        <f>B6*(2*K13+K7)</f>
        <v>396.65536000000003</v>
      </c>
      <c r="H6">
        <v>3</v>
      </c>
      <c r="I6">
        <f t="shared" si="1"/>
        <v>1.3221845333333335</v>
      </c>
      <c r="J6" t="s">
        <v>41</v>
      </c>
      <c r="K6">
        <f>CompCalc!S8</f>
        <v>14.00674</v>
      </c>
      <c r="M6">
        <f>D6*K13</f>
        <v>98.0864</v>
      </c>
    </row>
    <row r="7" spans="1:13" ht="12.75">
      <c r="A7" s="20" t="s">
        <v>5</v>
      </c>
      <c r="B7" s="21">
        <v>6.9</v>
      </c>
      <c r="C7" s="22" t="s">
        <v>55</v>
      </c>
      <c r="D7" s="22">
        <v>4.6</v>
      </c>
      <c r="E7" s="22">
        <f t="shared" si="0"/>
        <v>8.220827351007278</v>
      </c>
      <c r="F7" s="31">
        <f>D7*K14</f>
        <v>179.8508</v>
      </c>
      <c r="G7">
        <f>B7*(2*K14+K7)</f>
        <v>649.94826</v>
      </c>
      <c r="H7">
        <v>3</v>
      </c>
      <c r="I7">
        <f t="shared" si="1"/>
        <v>2.1664942</v>
      </c>
      <c r="J7" t="s">
        <v>31</v>
      </c>
      <c r="K7">
        <f>CompCalc!S9</f>
        <v>15.9994</v>
      </c>
      <c r="M7">
        <f>D7*K14</f>
        <v>179.8508</v>
      </c>
    </row>
    <row r="8" spans="1:13" ht="12.75">
      <c r="A8" s="20" t="s">
        <v>6</v>
      </c>
      <c r="B8" s="21">
        <v>5.9</v>
      </c>
      <c r="C8" s="22" t="s">
        <v>56</v>
      </c>
      <c r="D8" s="22">
        <v>2.95</v>
      </c>
      <c r="E8" s="22">
        <f t="shared" si="0"/>
        <v>8.81731805709499</v>
      </c>
      <c r="F8" s="31">
        <f>D8*K15</f>
        <v>192.90050000000002</v>
      </c>
      <c r="G8">
        <f>B8*(K15+K7)</f>
        <v>480.19746</v>
      </c>
      <c r="H8">
        <v>2</v>
      </c>
      <c r="I8">
        <f t="shared" si="1"/>
        <v>2.4009872999999997</v>
      </c>
      <c r="J8" t="s">
        <v>53</v>
      </c>
      <c r="K8">
        <f>CompCalc!S10</f>
        <v>26.981</v>
      </c>
      <c r="M8">
        <f>D8*K15</f>
        <v>192.90050000000002</v>
      </c>
    </row>
    <row r="9" spans="1:13" ht="12.75">
      <c r="A9" s="20" t="s">
        <v>16</v>
      </c>
      <c r="B9" s="21">
        <v>4</v>
      </c>
      <c r="C9" s="22" t="s">
        <v>94</v>
      </c>
      <c r="D9" s="22">
        <v>1.3333333333333333</v>
      </c>
      <c r="E9" s="22">
        <f t="shared" si="0"/>
        <v>2.9192911021301997</v>
      </c>
      <c r="F9" s="31">
        <f>D9*K16</f>
        <v>63.86666666666666</v>
      </c>
      <c r="G9">
        <f>B9*(K16+2*K7)</f>
        <v>319.5952</v>
      </c>
      <c r="H9">
        <v>3</v>
      </c>
      <c r="I9">
        <f t="shared" si="1"/>
        <v>1.0653173333333332</v>
      </c>
      <c r="J9" t="s">
        <v>69</v>
      </c>
      <c r="K9">
        <f>CompCalc!S11</f>
        <v>118.71</v>
      </c>
      <c r="M9">
        <f>D9*K16</f>
        <v>63.86666666666666</v>
      </c>
    </row>
    <row r="10" spans="1:13" ht="12.75">
      <c r="A10" s="20" t="s">
        <v>7</v>
      </c>
      <c r="B10" s="21">
        <v>0.1</v>
      </c>
      <c r="C10" s="22" t="s">
        <v>57</v>
      </c>
      <c r="D10" s="22">
        <v>0.04</v>
      </c>
      <c r="E10" s="22">
        <f t="shared" si="0"/>
        <v>0.2226218483895865</v>
      </c>
      <c r="F10" s="31">
        <f>D10*K17</f>
        <v>4.8704</v>
      </c>
      <c r="G10">
        <f>B10*(2*K17+3*K7)</f>
        <v>29.15182</v>
      </c>
      <c r="H10">
        <v>5</v>
      </c>
      <c r="I10">
        <f t="shared" si="1"/>
        <v>0.058303640000000004</v>
      </c>
      <c r="J10" t="s">
        <v>70</v>
      </c>
      <c r="K10">
        <f>CompCalc!S12</f>
        <v>207.2</v>
      </c>
      <c r="M10">
        <f>D10*K17</f>
        <v>4.8704</v>
      </c>
    </row>
    <row r="11" spans="1:13" ht="12.75">
      <c r="A11" s="20"/>
      <c r="B11" s="21"/>
      <c r="C11" s="22" t="s">
        <v>31</v>
      </c>
      <c r="D11" s="22">
        <v>60.40333333333333</v>
      </c>
      <c r="E11" s="22">
        <f t="shared" si="0"/>
        <v>44.174104629581656</v>
      </c>
      <c r="F11" s="31">
        <f>D11*K7</f>
        <v>966.4170913333332</v>
      </c>
      <c r="G11">
        <f>SUM(G3:G10)</f>
        <v>6740.009499999999</v>
      </c>
      <c r="H11" t="s">
        <v>104</v>
      </c>
      <c r="I11" s="9">
        <f>SUM(I3:I10)</f>
        <v>21.877457379999996</v>
      </c>
      <c r="J11" t="s">
        <v>44</v>
      </c>
      <c r="K11">
        <f>CompCalc!S13</f>
        <v>107.8682</v>
      </c>
      <c r="M11">
        <f>D11*K7</f>
        <v>966.4170913333332</v>
      </c>
    </row>
    <row r="12" spans="1:13" ht="12.75">
      <c r="A12" s="20" t="s">
        <v>61</v>
      </c>
      <c r="B12" s="21"/>
      <c r="C12" s="22"/>
      <c r="D12" s="22">
        <f>SUM(D3:D11)</f>
        <v>100</v>
      </c>
      <c r="E12" s="22">
        <f>SUM(E3:E11)</f>
        <v>100.00000000000001</v>
      </c>
      <c r="F12" s="31">
        <f>SUM(F3:F11)</f>
        <v>2187.7457379999996</v>
      </c>
      <c r="H12" t="s">
        <v>106</v>
      </c>
      <c r="J12" t="s">
        <v>52</v>
      </c>
      <c r="K12">
        <v>10.81</v>
      </c>
      <c r="L12" t="str">
        <f>H11</f>
        <v>avrgAtom:</v>
      </c>
      <c r="M12" s="9">
        <f>SUM(M3:M11)/100</f>
        <v>21.877457379999996</v>
      </c>
    </row>
    <row r="13" spans="1:11" ht="12.75">
      <c r="A13" s="17"/>
      <c r="B13" s="18"/>
      <c r="C13" s="22" t="s">
        <v>111</v>
      </c>
      <c r="D13" s="19">
        <f>I11</f>
        <v>21.877457379999996</v>
      </c>
      <c r="E13" s="19"/>
      <c r="F13" s="31"/>
      <c r="J13" t="s">
        <v>54</v>
      </c>
      <c r="K13">
        <v>22.989</v>
      </c>
    </row>
    <row r="14" spans="1:11" ht="12.75">
      <c r="A14" s="28"/>
      <c r="B14" s="29"/>
      <c r="C14" s="29"/>
      <c r="D14" s="30"/>
      <c r="E14" s="33"/>
      <c r="J14" t="s">
        <v>55</v>
      </c>
      <c r="K14">
        <v>39.098</v>
      </c>
    </row>
    <row r="15" spans="1:11" ht="12.75">
      <c r="A15" s="45" t="s">
        <v>63</v>
      </c>
      <c r="B15" s="45"/>
      <c r="C15" s="45"/>
      <c r="D15" s="45"/>
      <c r="E15" s="34"/>
      <c r="J15" t="s">
        <v>56</v>
      </c>
      <c r="K15">
        <v>65.39</v>
      </c>
    </row>
    <row r="16" spans="1:11" ht="12.75">
      <c r="A16" s="20" t="s">
        <v>58</v>
      </c>
      <c r="B16" s="21"/>
      <c r="C16" s="22" t="s">
        <v>59</v>
      </c>
      <c r="D16" s="22" t="s">
        <v>60</v>
      </c>
      <c r="E16" s="35"/>
      <c r="J16" t="s">
        <v>94</v>
      </c>
      <c r="K16">
        <v>47.9</v>
      </c>
    </row>
    <row r="17" spans="1:11" ht="12.75">
      <c r="A17" s="20" t="s">
        <v>39</v>
      </c>
      <c r="B17" s="21">
        <v>22</v>
      </c>
      <c r="C17" s="22">
        <v>56.41025641025641</v>
      </c>
      <c r="D17" s="22">
        <v>69.11333989308751</v>
      </c>
      <c r="E17" s="34"/>
      <c r="G17">
        <f>B17*K3</f>
        <v>264.24199999999996</v>
      </c>
      <c r="J17" t="s">
        <v>57</v>
      </c>
      <c r="K17">
        <v>121.76</v>
      </c>
    </row>
    <row r="18" spans="1:10" ht="12.75">
      <c r="A18" s="20" t="s">
        <v>40</v>
      </c>
      <c r="B18" s="21">
        <v>10</v>
      </c>
      <c r="C18" s="22">
        <v>25.64102564102564</v>
      </c>
      <c r="D18" s="22">
        <v>2.6361946729983465</v>
      </c>
      <c r="E18" s="34"/>
      <c r="G18">
        <f>B18*K5</f>
        <v>10.079</v>
      </c>
      <c r="J18" s="3"/>
    </row>
    <row r="19" spans="1:10" ht="12.75">
      <c r="A19" s="20" t="s">
        <v>41</v>
      </c>
      <c r="B19" s="21">
        <v>2</v>
      </c>
      <c r="C19" s="22">
        <v>5.128205128205128</v>
      </c>
      <c r="D19" s="22">
        <v>7.326994330049795</v>
      </c>
      <c r="E19" s="34"/>
      <c r="G19">
        <f>B19*K6</f>
        <v>28.01348</v>
      </c>
      <c r="J19" s="3"/>
    </row>
    <row r="20" spans="1:7" ht="12.75">
      <c r="A20" s="20" t="s">
        <v>31</v>
      </c>
      <c r="B20" s="21">
        <v>5</v>
      </c>
      <c r="C20" s="22">
        <v>12.82051282051282</v>
      </c>
      <c r="D20" s="22">
        <v>20.923471103864344</v>
      </c>
      <c r="E20" s="34"/>
      <c r="G20">
        <f>B20*K7</f>
        <v>79.997</v>
      </c>
    </row>
    <row r="21" spans="1:9" ht="12.75">
      <c r="A21" s="20" t="s">
        <v>61</v>
      </c>
      <c r="B21" s="21">
        <f>SUM(B17:B20)</f>
        <v>39</v>
      </c>
      <c r="C21" s="22">
        <f>SUM(C17:C20)</f>
        <v>99.99999999999999</v>
      </c>
      <c r="D21" s="22">
        <f>SUM(D17:D20)</f>
        <v>100</v>
      </c>
      <c r="E21" s="34"/>
      <c r="F21" t="str">
        <f>H11</f>
        <v>avrgAtom:</v>
      </c>
      <c r="G21" s="9">
        <f>SUM(G17:G20)/B21</f>
        <v>9.803371282051282</v>
      </c>
      <c r="H21" t="s">
        <v>106</v>
      </c>
      <c r="I21">
        <f>G21*B21</f>
        <v>382.33148</v>
      </c>
    </row>
    <row r="22" spans="1:5" ht="12.75">
      <c r="A22" s="17"/>
      <c r="B22" s="18"/>
      <c r="C22" s="19" t="str">
        <f>C13</f>
        <v>Avarage atom:</v>
      </c>
      <c r="D22" s="19">
        <f>G21</f>
        <v>9.803371282051282</v>
      </c>
      <c r="E22" s="34"/>
    </row>
    <row r="23" spans="1:4" ht="29.25" customHeight="1">
      <c r="A23" s="46" t="s">
        <v>67</v>
      </c>
      <c r="B23" s="46"/>
      <c r="C23" s="46"/>
      <c r="D23" s="46"/>
    </row>
    <row r="24" spans="1:4" ht="12.75">
      <c r="A24" s="20" t="s">
        <v>58</v>
      </c>
      <c r="B24" s="21"/>
      <c r="C24" s="22" t="s">
        <v>59</v>
      </c>
      <c r="D24" s="22" t="s">
        <v>60</v>
      </c>
    </row>
    <row r="25" spans="1:7" ht="12.75">
      <c r="A25" s="17" t="s">
        <v>39</v>
      </c>
      <c r="B25" s="18">
        <v>6</v>
      </c>
      <c r="C25" s="19">
        <v>46.15384615384615</v>
      </c>
      <c r="D25" s="19">
        <v>76.57406856453109</v>
      </c>
      <c r="G25">
        <f>B25*K3</f>
        <v>72.066</v>
      </c>
    </row>
    <row r="26" spans="1:7" ht="12.75">
      <c r="A26" s="17" t="s">
        <v>40</v>
      </c>
      <c r="B26" s="18">
        <v>6</v>
      </c>
      <c r="C26" s="19">
        <v>46.15384615384615</v>
      </c>
      <c r="D26" s="19">
        <v>6.425693423211295</v>
      </c>
      <c r="G26">
        <f>B26*K5</f>
        <v>6.0474</v>
      </c>
    </row>
    <row r="27" spans="1:7" ht="12.75">
      <c r="A27" s="17" t="s">
        <v>31</v>
      </c>
      <c r="B27" s="18">
        <v>1</v>
      </c>
      <c r="C27" s="19">
        <v>7.6923076923076925</v>
      </c>
      <c r="D27" s="19">
        <v>17.000238012257633</v>
      </c>
      <c r="G27">
        <f>B27*K7</f>
        <v>15.9994</v>
      </c>
    </row>
    <row r="28" spans="1:9" ht="12.75">
      <c r="A28" s="20" t="s">
        <v>61</v>
      </c>
      <c r="B28" s="18">
        <f>SUM(B25:B27)</f>
        <v>13</v>
      </c>
      <c r="C28" s="19">
        <f>SUM(C25:C27)</f>
        <v>100</v>
      </c>
      <c r="D28" s="19">
        <f>SUM(D25:D27)</f>
        <v>100.00000000000003</v>
      </c>
      <c r="F28" t="str">
        <f>F21</f>
        <v>avrgAtom:</v>
      </c>
      <c r="G28" s="9">
        <f>SUM(G25:G27)/B28</f>
        <v>7.239446153846154</v>
      </c>
      <c r="H28" t="s">
        <v>106</v>
      </c>
      <c r="I28">
        <f>G28*B28</f>
        <v>94.1128</v>
      </c>
    </row>
    <row r="29" spans="1:4" ht="12.75">
      <c r="A29" s="17"/>
      <c r="B29" s="18"/>
      <c r="C29" s="19" t="str">
        <f>C22</f>
        <v>Avarage atom:</v>
      </c>
      <c r="D29" s="19">
        <f>G28</f>
        <v>7.239446153846154</v>
      </c>
    </row>
    <row r="30" spans="1:4" ht="24.75" customHeight="1">
      <c r="A30" s="46" t="s">
        <v>64</v>
      </c>
      <c r="B30" s="46"/>
      <c r="C30" s="46"/>
      <c r="D30" s="46"/>
    </row>
    <row r="31" spans="1:4" ht="12.75">
      <c r="A31" s="20" t="s">
        <v>58</v>
      </c>
      <c r="B31" s="21"/>
      <c r="C31" s="22" t="s">
        <v>59</v>
      </c>
      <c r="D31" s="22" t="s">
        <v>60</v>
      </c>
    </row>
    <row r="32" spans="1:7" ht="12.75">
      <c r="A32" s="17" t="s">
        <v>39</v>
      </c>
      <c r="B32" s="18">
        <v>6</v>
      </c>
      <c r="C32" s="19">
        <v>44.55335263978614</v>
      </c>
      <c r="D32" s="19">
        <v>49.87709772625049</v>
      </c>
      <c r="G32">
        <f>B32*K3</f>
        <v>72.066</v>
      </c>
    </row>
    <row r="33" spans="1:7" ht="12.75">
      <c r="A33" s="17" t="s">
        <v>40</v>
      </c>
      <c r="B33" s="18">
        <v>6</v>
      </c>
      <c r="C33" s="19">
        <v>44.55335263978614</v>
      </c>
      <c r="D33" s="19">
        <v>4.1854239279233925</v>
      </c>
      <c r="G33">
        <f>B33*K5</f>
        <v>6.0474</v>
      </c>
    </row>
    <row r="34" spans="1:7" ht="12.75">
      <c r="A34" s="17" t="s">
        <v>31</v>
      </c>
      <c r="B34" s="18">
        <v>1</v>
      </c>
      <c r="C34" s="19">
        <v>7.4255587732976895</v>
      </c>
      <c r="D34" s="19">
        <v>11.073233388302002</v>
      </c>
      <c r="G34">
        <f>B34*K7</f>
        <v>15.9994</v>
      </c>
    </row>
    <row r="35" spans="1:7" ht="12.75">
      <c r="A35" s="17" t="s">
        <v>44</v>
      </c>
      <c r="B35" s="18">
        <v>0.467</v>
      </c>
      <c r="C35" s="19">
        <v>3.4677359471300218</v>
      </c>
      <c r="D35" s="19">
        <v>34.864244957524114</v>
      </c>
      <c r="G35">
        <f>B35*K11</f>
        <v>50.3744494</v>
      </c>
    </row>
    <row r="36" spans="1:9" ht="12.75">
      <c r="A36" s="20" t="s">
        <v>61</v>
      </c>
      <c r="B36" s="18">
        <f>SUM(B32:B35)</f>
        <v>13.467</v>
      </c>
      <c r="C36" s="19">
        <f>SUM(C32:C35)</f>
        <v>100</v>
      </c>
      <c r="D36" s="19">
        <f>SUM(D32:D35)</f>
        <v>100</v>
      </c>
      <c r="F36" t="str">
        <f>F21</f>
        <v>avrgAtom:</v>
      </c>
      <c r="G36" s="9">
        <f>SUM(G32:G35)/B36</f>
        <v>10.728985624118215</v>
      </c>
      <c r="H36" t="s">
        <v>106</v>
      </c>
      <c r="I36">
        <f>G36*B36</f>
        <v>144.4872494</v>
      </c>
    </row>
    <row r="37" spans="1:4" ht="12.75">
      <c r="A37" s="17"/>
      <c r="B37" s="18"/>
      <c r="C37" s="19" t="str">
        <f>C29</f>
        <v>Avarage atom:</v>
      </c>
      <c r="D37" s="19">
        <f>G36</f>
        <v>10.728985624118215</v>
      </c>
    </row>
    <row r="38" spans="1:4" ht="12.75">
      <c r="A38" s="45" t="s">
        <v>65</v>
      </c>
      <c r="B38" s="45"/>
      <c r="C38" s="45"/>
      <c r="D38" s="45"/>
    </row>
    <row r="39" spans="1:4" ht="12.75">
      <c r="A39" s="20" t="s">
        <v>58</v>
      </c>
      <c r="B39" s="21"/>
      <c r="C39" s="22" t="s">
        <v>59</v>
      </c>
      <c r="D39" s="22" t="s">
        <v>60</v>
      </c>
    </row>
    <row r="40" spans="1:7" ht="12.75">
      <c r="A40" s="17" t="s">
        <v>46</v>
      </c>
      <c r="B40" s="18">
        <v>1</v>
      </c>
      <c r="C40" s="19">
        <v>33.33333333333333</v>
      </c>
      <c r="D40" s="19">
        <v>93.30339049492056</v>
      </c>
      <c r="G40">
        <f>B40*K4</f>
        <v>28.086</v>
      </c>
    </row>
    <row r="41" spans="1:7" ht="12.75">
      <c r="A41" s="17" t="s">
        <v>40</v>
      </c>
      <c r="B41" s="18">
        <v>2</v>
      </c>
      <c r="C41" s="19">
        <v>66.66666666666666</v>
      </c>
      <c r="D41" s="19">
        <v>6.696609505079431</v>
      </c>
      <c r="G41">
        <f>B41*K5</f>
        <v>2.0158</v>
      </c>
    </row>
    <row r="42" spans="1:9" ht="12.75">
      <c r="A42" s="20" t="s">
        <v>61</v>
      </c>
      <c r="B42" s="18">
        <f>SUM(B40:B41)</f>
        <v>3</v>
      </c>
      <c r="C42" s="19">
        <f>SUM(C40:C41)</f>
        <v>99.99999999999999</v>
      </c>
      <c r="D42" s="19">
        <f>SUM(D40:D41)</f>
        <v>100</v>
      </c>
      <c r="F42" t="str">
        <f>F21</f>
        <v>avrgAtom:</v>
      </c>
      <c r="G42" s="9">
        <f>SUM(G40:G41)/B42</f>
        <v>10.033933333333332</v>
      </c>
      <c r="H42" t="s">
        <v>106</v>
      </c>
      <c r="I42">
        <f>G42*B42</f>
        <v>30.101799999999997</v>
      </c>
    </row>
    <row r="43" spans="1:4" ht="12.75">
      <c r="A43" s="24"/>
      <c r="B43" s="25"/>
      <c r="C43" s="26" t="str">
        <f>C37</f>
        <v>Avarage atom:</v>
      </c>
      <c r="D43" s="26">
        <f>G42</f>
        <v>10.033933333333332</v>
      </c>
    </row>
    <row r="44" spans="1:5" ht="12.75">
      <c r="A44" s="45" t="s">
        <v>66</v>
      </c>
      <c r="B44" s="45"/>
      <c r="C44" s="45"/>
      <c r="D44" s="45"/>
      <c r="E44" s="45"/>
    </row>
    <row r="45" spans="1:8" ht="12.75">
      <c r="A45" s="20" t="s">
        <v>8</v>
      </c>
      <c r="B45" s="21" t="s">
        <v>112</v>
      </c>
      <c r="C45" s="22" t="s">
        <v>58</v>
      </c>
      <c r="D45" s="22" t="s">
        <v>59</v>
      </c>
      <c r="E45" s="22" t="s">
        <v>60</v>
      </c>
      <c r="F45" s="3"/>
      <c r="H45" t="s">
        <v>62</v>
      </c>
    </row>
    <row r="46" spans="1:9" ht="12.75">
      <c r="A46" s="17" t="s">
        <v>50</v>
      </c>
      <c r="B46" s="18">
        <v>44</v>
      </c>
      <c r="C46" s="19" t="s">
        <v>39</v>
      </c>
      <c r="D46" s="19">
        <f>6/13*B46</f>
        <v>20.30769230769231</v>
      </c>
      <c r="E46" s="19">
        <f>I46/$I$58*100</f>
        <v>15.800992421678158</v>
      </c>
      <c r="G46">
        <f>D46*K3</f>
        <v>243.91569230769232</v>
      </c>
      <c r="H46">
        <v>12.011</v>
      </c>
      <c r="I46">
        <f>D46*H46/$H$58</f>
        <v>0.5977861335472032</v>
      </c>
    </row>
    <row r="47" spans="1:9" ht="12.75">
      <c r="A47" s="17"/>
      <c r="B47" s="18"/>
      <c r="C47" s="19" t="s">
        <v>40</v>
      </c>
      <c r="D47" s="19">
        <f>6/13*B46</f>
        <v>20.30769230769231</v>
      </c>
      <c r="E47" s="19">
        <f aca="true" t="shared" si="2" ref="E47:E57">I47/$I$58*100</f>
        <v>1.3259362469244373</v>
      </c>
      <c r="G47">
        <f>D47*K5</f>
        <v>20.46812307692308</v>
      </c>
      <c r="H47">
        <v>1.0079</v>
      </c>
      <c r="I47">
        <f aca="true" t="shared" si="3" ref="I47:I57">D47*H47/$H$58</f>
        <v>0.050163070851904606</v>
      </c>
    </row>
    <row r="48" spans="1:9" ht="12.75">
      <c r="A48" s="17"/>
      <c r="B48" s="18"/>
      <c r="C48" s="19" t="s">
        <v>31</v>
      </c>
      <c r="D48" s="19">
        <f>1/13*B46</f>
        <v>3.384615384615385</v>
      </c>
      <c r="E48" s="19">
        <f t="shared" si="2"/>
        <v>3.5079843220297717</v>
      </c>
      <c r="G48">
        <f>D48*K7</f>
        <v>54.15181538461539</v>
      </c>
      <c r="H48">
        <v>15.9994</v>
      </c>
      <c r="I48">
        <f t="shared" si="3"/>
        <v>0.13271472629360756</v>
      </c>
    </row>
    <row r="49" spans="1:9" ht="12.75">
      <c r="A49" s="20" t="s">
        <v>51</v>
      </c>
      <c r="B49" s="18">
        <v>56</v>
      </c>
      <c r="C49" s="22" t="s">
        <v>46</v>
      </c>
      <c r="D49" s="19">
        <f>D3*56/100</f>
        <v>11.96533333333333</v>
      </c>
      <c r="E49" s="19">
        <f t="shared" si="2"/>
        <v>21.770044489368782</v>
      </c>
      <c r="G49">
        <f>D49*K4</f>
        <v>336.0583519999999</v>
      </c>
      <c r="H49">
        <v>28.086</v>
      </c>
      <c r="I49">
        <f t="shared" si="3"/>
        <v>0.8236084402265803</v>
      </c>
    </row>
    <row r="50" spans="1:9" ht="12.75">
      <c r="A50" s="20"/>
      <c r="B50" s="18"/>
      <c r="C50" s="22" t="s">
        <v>52</v>
      </c>
      <c r="D50" s="19">
        <f aca="true" t="shared" si="4" ref="D50:D57">D4*56/100</f>
        <v>1.8816</v>
      </c>
      <c r="E50" s="19">
        <f t="shared" si="2"/>
        <v>1.3176425826132485</v>
      </c>
      <c r="G50">
        <f>D50*K12</f>
        <v>20.340096</v>
      </c>
      <c r="H50">
        <v>10.81</v>
      </c>
      <c r="I50">
        <f t="shared" si="3"/>
        <v>0.04984930337520345</v>
      </c>
    </row>
    <row r="51" spans="1:9" ht="12.75">
      <c r="A51" s="20"/>
      <c r="B51" s="18"/>
      <c r="C51" s="22" t="s">
        <v>53</v>
      </c>
      <c r="D51" s="19">
        <f t="shared" si="4"/>
        <v>0.9408</v>
      </c>
      <c r="E51" s="19">
        <f t="shared" si="2"/>
        <v>1.6443716244906597</v>
      </c>
      <c r="G51">
        <f>D51*K8</f>
        <v>25.3837248</v>
      </c>
      <c r="H51">
        <v>26.981</v>
      </c>
      <c r="I51">
        <f t="shared" si="3"/>
        <v>0.062210178277815185</v>
      </c>
    </row>
    <row r="52" spans="1:9" ht="12.75">
      <c r="A52" s="20"/>
      <c r="B52" s="18"/>
      <c r="C52" s="22" t="s">
        <v>54</v>
      </c>
      <c r="D52" s="19">
        <f t="shared" si="4"/>
        <v>2.3893333333333335</v>
      </c>
      <c r="E52" s="19">
        <f t="shared" si="2"/>
        <v>3.558290863156804</v>
      </c>
      <c r="G52">
        <f>D52*K13</f>
        <v>54.92838400000001</v>
      </c>
      <c r="H52">
        <v>22.989</v>
      </c>
      <c r="I52">
        <f t="shared" si="3"/>
        <v>0.13461793287139215</v>
      </c>
    </row>
    <row r="53" spans="1:9" ht="12.75">
      <c r="A53" s="20"/>
      <c r="B53" s="18"/>
      <c r="C53" s="22" t="s">
        <v>55</v>
      </c>
      <c r="D53" s="19">
        <f t="shared" si="4"/>
        <v>2.5759999999999996</v>
      </c>
      <c r="E53" s="19">
        <f t="shared" si="2"/>
        <v>6.524466780016818</v>
      </c>
      <c r="G53">
        <f>D53*K14</f>
        <v>100.71644799999999</v>
      </c>
      <c r="H53">
        <v>39.098</v>
      </c>
      <c r="I53">
        <f t="shared" si="3"/>
        <v>0.24683486111495748</v>
      </c>
    </row>
    <row r="54" spans="1:9" ht="12.75">
      <c r="A54" s="20"/>
      <c r="B54" s="18"/>
      <c r="C54" s="22" t="s">
        <v>56</v>
      </c>
      <c r="D54" s="19">
        <f t="shared" si="4"/>
        <v>1.6520000000000001</v>
      </c>
      <c r="E54" s="19">
        <f t="shared" si="2"/>
        <v>6.997872147906121</v>
      </c>
      <c r="G54">
        <f>D54*K15</f>
        <v>108.02428</v>
      </c>
      <c r="H54">
        <v>65.39</v>
      </c>
      <c r="I54">
        <f t="shared" si="3"/>
        <v>0.2647448225223678</v>
      </c>
    </row>
    <row r="55" spans="1:9" ht="12.75">
      <c r="A55" s="20"/>
      <c r="B55" s="18"/>
      <c r="C55" s="22" t="s">
        <v>94</v>
      </c>
      <c r="D55" s="19">
        <f t="shared" si="4"/>
        <v>0.7466666666666666</v>
      </c>
      <c r="E55" s="19">
        <f t="shared" si="2"/>
        <v>2.3168979232623603</v>
      </c>
      <c r="G55">
        <f>D55*K16</f>
        <v>35.76533333333333</v>
      </c>
      <c r="H55">
        <v>47.9</v>
      </c>
      <c r="I55">
        <f t="shared" si="3"/>
        <v>0.08765332039969771</v>
      </c>
    </row>
    <row r="56" spans="1:11" ht="12.75">
      <c r="A56" s="20"/>
      <c r="B56" s="18"/>
      <c r="C56" s="22" t="s">
        <v>57</v>
      </c>
      <c r="D56" s="19">
        <f t="shared" si="4"/>
        <v>0.022400000000000003</v>
      </c>
      <c r="E56" s="19">
        <f t="shared" si="2"/>
        <v>0.17668402367625788</v>
      </c>
      <c r="G56">
        <f>D56*K17</f>
        <v>2.7274240000000005</v>
      </c>
      <c r="H56">
        <v>121.76</v>
      </c>
      <c r="I56">
        <f t="shared" si="3"/>
        <v>0.006684343397829142</v>
      </c>
      <c r="K56">
        <f>B46*G28</f>
        <v>318.53563076923075</v>
      </c>
    </row>
    <row r="57" spans="1:11" ht="12.75">
      <c r="A57" s="20"/>
      <c r="B57" s="18"/>
      <c r="C57" s="22" t="s">
        <v>31</v>
      </c>
      <c r="D57" s="19">
        <f t="shared" si="4"/>
        <v>33.82586666666666</v>
      </c>
      <c r="E57" s="19">
        <f t="shared" si="2"/>
        <v>35.05881657487658</v>
      </c>
      <c r="G57">
        <f>D57*K7</f>
        <v>541.1935711466666</v>
      </c>
      <c r="H57">
        <v>15.9994</v>
      </c>
      <c r="I57">
        <f t="shared" si="3"/>
        <v>1.3263517789099883</v>
      </c>
      <c r="K57">
        <f>B49*I11</f>
        <v>1225.1376132799996</v>
      </c>
    </row>
    <row r="58" spans="1:11" ht="12.75">
      <c r="A58" s="20" t="s">
        <v>61</v>
      </c>
      <c r="B58" s="18"/>
      <c r="C58" s="19"/>
      <c r="D58" s="19">
        <f>SUM(D46:D57)</f>
        <v>100</v>
      </c>
      <c r="E58" s="19">
        <f>SUM(E46:E57)</f>
        <v>100</v>
      </c>
      <c r="F58" t="str">
        <f>F42</f>
        <v>avrgAtom:</v>
      </c>
      <c r="G58" s="9">
        <f>SUM(G46:G57)/100</f>
        <v>15.436732440492309</v>
      </c>
      <c r="H58">
        <f>SUM(H46:H57)</f>
        <v>408.03169999999994</v>
      </c>
      <c r="I58">
        <f>SUM(I46:I57)</f>
        <v>3.783218911788547</v>
      </c>
      <c r="J58" t="str">
        <f>F58</f>
        <v>avrgAtom:</v>
      </c>
      <c r="K58" s="9">
        <f>SUM(K56:K57)/100</f>
        <v>15.436732440492303</v>
      </c>
    </row>
    <row r="59" spans="1:5" ht="12.75">
      <c r="A59" s="17"/>
      <c r="B59" s="18"/>
      <c r="C59" s="19" t="str">
        <f>C43</f>
        <v>Avarage atom:</v>
      </c>
      <c r="D59" s="19">
        <f>G58</f>
        <v>15.436732440492309</v>
      </c>
      <c r="E59" s="19"/>
    </row>
    <row r="60" spans="1:4" ht="12.75">
      <c r="A60" s="45" t="s">
        <v>68</v>
      </c>
      <c r="B60" s="45"/>
      <c r="C60" s="45"/>
      <c r="D60" s="45"/>
    </row>
    <row r="61" spans="1:8" ht="12.75">
      <c r="A61" s="20" t="s">
        <v>58</v>
      </c>
      <c r="B61" s="21"/>
      <c r="C61" s="22" t="s">
        <v>59</v>
      </c>
      <c r="D61" s="22" t="s">
        <v>60</v>
      </c>
      <c r="H61" t="s">
        <v>62</v>
      </c>
    </row>
    <row r="62" spans="1:8" ht="12.75">
      <c r="A62" s="20" t="s">
        <v>69</v>
      </c>
      <c r="B62" s="18">
        <v>1</v>
      </c>
      <c r="C62" s="19">
        <v>50</v>
      </c>
      <c r="D62" s="19">
        <f>H62/$H$64*100</f>
        <v>36.42416618084747</v>
      </c>
      <c r="G62">
        <f>C62*K9</f>
        <v>5935.5</v>
      </c>
      <c r="H62">
        <v>118.71</v>
      </c>
    </row>
    <row r="63" spans="1:8" ht="12.75">
      <c r="A63" s="20" t="s">
        <v>70</v>
      </c>
      <c r="B63" s="18">
        <v>1</v>
      </c>
      <c r="C63" s="19">
        <v>50</v>
      </c>
      <c r="D63" s="19">
        <f>H63/$H$64*100</f>
        <v>63.57583381915253</v>
      </c>
      <c r="G63">
        <f>C63*K10</f>
        <v>10360</v>
      </c>
      <c r="H63">
        <v>207.2</v>
      </c>
    </row>
    <row r="64" spans="1:10" ht="12.75">
      <c r="A64" s="20" t="s">
        <v>61</v>
      </c>
      <c r="B64" s="18">
        <f>SUM(B62:B63)</f>
        <v>2</v>
      </c>
      <c r="C64" s="19">
        <f>SUM(C62:C63)</f>
        <v>100</v>
      </c>
      <c r="D64" s="19">
        <f>SUM(D62:D63)</f>
        <v>100</v>
      </c>
      <c r="F64" t="str">
        <f>F58</f>
        <v>avrgAtom:</v>
      </c>
      <c r="G64" s="9">
        <f>SUM(G62:G63)/100</f>
        <v>162.955</v>
      </c>
      <c r="H64">
        <f>SUM(H62:H63)</f>
        <v>325.90999999999997</v>
      </c>
      <c r="I64" t="s">
        <v>106</v>
      </c>
      <c r="J64">
        <f>G64*B64</f>
        <v>325.91</v>
      </c>
    </row>
    <row r="65" spans="1:4" ht="12.75">
      <c r="A65" s="17"/>
      <c r="B65" s="18"/>
      <c r="C65" s="19" t="str">
        <f>C59</f>
        <v>Avarage atom:</v>
      </c>
      <c r="D65" s="19">
        <f>G64</f>
        <v>162.955</v>
      </c>
    </row>
    <row r="66" spans="1:4" ht="12.75">
      <c r="A66" s="45" t="s">
        <v>71</v>
      </c>
      <c r="B66" s="45"/>
      <c r="C66" s="45"/>
      <c r="D66" s="45"/>
    </row>
    <row r="67" spans="1:8" ht="12.75">
      <c r="A67" s="20" t="s">
        <v>58</v>
      </c>
      <c r="B67" s="21"/>
      <c r="C67" s="22" t="s">
        <v>59</v>
      </c>
      <c r="D67" s="22" t="s">
        <v>60</v>
      </c>
      <c r="H67" t="s">
        <v>62</v>
      </c>
    </row>
    <row r="68" spans="1:8" ht="12.75">
      <c r="A68" s="20" t="s">
        <v>53</v>
      </c>
      <c r="B68" s="18">
        <v>1</v>
      </c>
      <c r="C68" s="19">
        <v>50</v>
      </c>
      <c r="D68" s="19">
        <f>H68/$H$70*100</f>
        <v>65.82700095199199</v>
      </c>
      <c r="G68">
        <f>C68*K8</f>
        <v>1349.0500000000002</v>
      </c>
      <c r="H68">
        <v>26.981</v>
      </c>
    </row>
    <row r="69" spans="1:8" ht="12.75">
      <c r="A69" s="20" t="s">
        <v>41</v>
      </c>
      <c r="B69" s="18">
        <v>1</v>
      </c>
      <c r="C69" s="19">
        <v>50</v>
      </c>
      <c r="D69" s="19">
        <f>H69/$H$70*100</f>
        <v>34.17299904800801</v>
      </c>
      <c r="G69">
        <f>C69*K6</f>
        <v>700.337</v>
      </c>
      <c r="H69">
        <v>14.00674</v>
      </c>
    </row>
    <row r="70" spans="1:10" ht="12.75">
      <c r="A70" s="20" t="s">
        <v>61</v>
      </c>
      <c r="B70" s="18">
        <f>SUM(B68:B69)</f>
        <v>2</v>
      </c>
      <c r="C70" s="19">
        <f>SUM(C68:C69)</f>
        <v>100</v>
      </c>
      <c r="D70" s="19">
        <f>SUM(D68:D69)</f>
        <v>100</v>
      </c>
      <c r="F70" t="str">
        <f>F58</f>
        <v>avrgAtom:</v>
      </c>
      <c r="G70" s="9">
        <f>SUM(G68:G69)/100</f>
        <v>20.49387</v>
      </c>
      <c r="H70">
        <f>SUM(H68:H69)</f>
        <v>40.98774</v>
      </c>
      <c r="I70" t="s">
        <v>106</v>
      </c>
      <c r="J70">
        <f>G70*B70</f>
        <v>40.98774</v>
      </c>
    </row>
    <row r="71" spans="1:4" ht="12.75">
      <c r="A71" s="17"/>
      <c r="B71" s="18"/>
      <c r="C71" s="19" t="str">
        <f>C65</f>
        <v>Avarage atom:</v>
      </c>
      <c r="D71" s="19">
        <f>G70</f>
        <v>20.49387</v>
      </c>
    </row>
    <row r="72" spans="1:4" ht="12.75">
      <c r="A72" s="45" t="s">
        <v>3</v>
      </c>
      <c r="B72" s="45"/>
      <c r="C72" s="45"/>
      <c r="D72" s="45"/>
    </row>
    <row r="73" spans="1:8" ht="12.75">
      <c r="A73" s="20" t="s">
        <v>58</v>
      </c>
      <c r="B73" s="21"/>
      <c r="C73" s="22" t="s">
        <v>59</v>
      </c>
      <c r="D73" s="22" t="s">
        <v>60</v>
      </c>
      <c r="H73" t="s">
        <v>62</v>
      </c>
    </row>
    <row r="74" spans="1:9" ht="12.75">
      <c r="A74" s="20" t="s">
        <v>53</v>
      </c>
      <c r="B74" s="18">
        <v>2</v>
      </c>
      <c r="C74" s="19">
        <v>40</v>
      </c>
      <c r="D74" s="19">
        <f>I74/$I$76*100</f>
        <v>52.924572529281036</v>
      </c>
      <c r="G74">
        <f>C74*K8</f>
        <v>1079.24</v>
      </c>
      <c r="H74">
        <v>26.981</v>
      </c>
      <c r="I74">
        <f>C74*H74/$H$76</f>
        <v>25.110050162399602</v>
      </c>
    </row>
    <row r="75" spans="1:10" ht="12.75">
      <c r="A75" s="20" t="s">
        <v>31</v>
      </c>
      <c r="B75" s="18">
        <v>3</v>
      </c>
      <c r="C75" s="19">
        <v>60</v>
      </c>
      <c r="D75" s="19">
        <f>I75/$I$76*100</f>
        <v>47.075427470718964</v>
      </c>
      <c r="G75">
        <f>C75*K7</f>
        <v>959.9639999999999</v>
      </c>
      <c r="H75">
        <v>15.9994</v>
      </c>
      <c r="I75">
        <f>C75*H75/$H$76</f>
        <v>22.33492475640059</v>
      </c>
      <c r="J75" t="str">
        <f>I70</f>
        <v>Molecule:</v>
      </c>
    </row>
    <row r="76" spans="1:10" ht="12.75">
      <c r="A76" s="20" t="s">
        <v>61</v>
      </c>
      <c r="B76" s="18">
        <f>SUM(B74:B75)</f>
        <v>5</v>
      </c>
      <c r="C76" s="19">
        <f>SUM(C74:C75)</f>
        <v>100</v>
      </c>
      <c r="D76" s="19">
        <f>SUM(D74:D75)</f>
        <v>100</v>
      </c>
      <c r="F76" t="str">
        <f>F64</f>
        <v>avrgAtom:</v>
      </c>
      <c r="G76" s="9">
        <f>SUM(G74:G75)/100</f>
        <v>20.392039999999998</v>
      </c>
      <c r="H76">
        <f>SUM(H74:H75)</f>
        <v>42.9804</v>
      </c>
      <c r="I76">
        <f>SUM(I74:I75)</f>
        <v>47.44497491880019</v>
      </c>
      <c r="J76">
        <f>G76*B76</f>
        <v>101.96019999999999</v>
      </c>
    </row>
    <row r="77" spans="1:4" ht="12.75">
      <c r="A77" s="17"/>
      <c r="B77" s="18"/>
      <c r="C77" s="19" t="str">
        <f>C71</f>
        <v>Avarage atom:</v>
      </c>
      <c r="D77" s="19">
        <f>G76</f>
        <v>20.392039999999998</v>
      </c>
    </row>
  </sheetData>
  <mergeCells count="9">
    <mergeCell ref="A1:E1"/>
    <mergeCell ref="A15:D15"/>
    <mergeCell ref="A66:D66"/>
    <mergeCell ref="A72:D72"/>
    <mergeCell ref="A44:E44"/>
    <mergeCell ref="A60:D60"/>
    <mergeCell ref="A23:D23"/>
    <mergeCell ref="A30:D30"/>
    <mergeCell ref="A38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workbookViewId="0" topLeftCell="A1">
      <selection activeCell="R88" sqref="R88"/>
    </sheetView>
  </sheetViews>
  <sheetFormatPr defaultColWidth="9.140625" defaultRowHeight="12.75"/>
  <cols>
    <col min="32" max="32" width="12.421875" style="0" bestFit="1" customWidth="1"/>
  </cols>
  <sheetData>
    <row r="1" spans="1:8" ht="12.75">
      <c r="A1" s="9" t="s">
        <v>72</v>
      </c>
      <c r="H1" s="9" t="s">
        <v>81</v>
      </c>
    </row>
    <row r="3" spans="1:23" ht="12.75">
      <c r="A3" s="3" t="s">
        <v>8</v>
      </c>
      <c r="B3" s="3" t="s">
        <v>80</v>
      </c>
      <c r="C3" s="3" t="s">
        <v>60</v>
      </c>
      <c r="D3" s="3"/>
      <c r="E3" s="3"/>
      <c r="H3" s="3" t="s">
        <v>8</v>
      </c>
      <c r="I3" s="3" t="s">
        <v>58</v>
      </c>
      <c r="J3" s="3" t="s">
        <v>80</v>
      </c>
      <c r="K3" t="str">
        <f>N3</f>
        <v>Summary</v>
      </c>
      <c r="L3" t="str">
        <f>O3</f>
        <v>Weight [g]</v>
      </c>
      <c r="M3" t="str">
        <f>L3</f>
        <v>Weight [g]</v>
      </c>
      <c r="N3" t="s">
        <v>82</v>
      </c>
      <c r="O3" s="3" t="s">
        <v>80</v>
      </c>
      <c r="P3" t="s">
        <v>60</v>
      </c>
      <c r="Q3" t="s">
        <v>59</v>
      </c>
      <c r="S3" t="s">
        <v>103</v>
      </c>
      <c r="U3" t="s">
        <v>103</v>
      </c>
      <c r="W3" t="s">
        <v>105</v>
      </c>
    </row>
    <row r="4" spans="1:25" ht="12.75">
      <c r="A4" t="s">
        <v>73</v>
      </c>
      <c r="B4" s="3">
        <v>2.201826671092067</v>
      </c>
      <c r="C4" s="3">
        <f>B4/$B$16*100</f>
        <v>28.73697038752371</v>
      </c>
      <c r="D4" s="3"/>
      <c r="E4" s="3"/>
      <c r="H4" t="s">
        <v>73</v>
      </c>
      <c r="I4" t="s">
        <v>73</v>
      </c>
      <c r="J4">
        <f>B4</f>
        <v>2.201826671092067</v>
      </c>
      <c r="K4" t="str">
        <f aca="true" t="shared" si="0" ref="K4:K14">N4</f>
        <v>Cu</v>
      </c>
      <c r="L4">
        <f aca="true" t="shared" si="1" ref="L4:L14">O4</f>
        <v>2.201826671092067</v>
      </c>
      <c r="M4">
        <f>J4</f>
        <v>2.201826671092067</v>
      </c>
      <c r="N4" t="str">
        <f>I4</f>
        <v>Cu</v>
      </c>
      <c r="O4">
        <f>J4</f>
        <v>2.201826671092067</v>
      </c>
      <c r="P4">
        <f>O4/$O$14*100</f>
        <v>28.73697038752371</v>
      </c>
      <c r="Q4">
        <f>T4/$T$14*100</f>
        <v>7.38650579308769</v>
      </c>
      <c r="S4">
        <v>63.546</v>
      </c>
      <c r="T4">
        <f>O4/S4</f>
        <v>0.03464933545922744</v>
      </c>
      <c r="U4">
        <f>S4</f>
        <v>63.546</v>
      </c>
      <c r="W4">
        <f>Y4/$Y$34*100</f>
        <v>7.386505988428013</v>
      </c>
      <c r="Y4">
        <f>M4/U4*1</f>
        <v>0.03464933545922744</v>
      </c>
    </row>
    <row r="5" spans="1:25" ht="12.75">
      <c r="A5" t="s">
        <v>74</v>
      </c>
      <c r="B5" s="3">
        <v>1.8201113425309732</v>
      </c>
      <c r="C5" s="3">
        <f aca="true" t="shared" si="2" ref="C5:C15">B5/$B$16*100</f>
        <v>23.75504231964204</v>
      </c>
      <c r="D5" s="3"/>
      <c r="E5" s="3"/>
      <c r="H5" t="s">
        <v>74</v>
      </c>
      <c r="I5" s="3" t="s">
        <v>39</v>
      </c>
      <c r="J5">
        <f>B5</f>
        <v>1.8201113425309732</v>
      </c>
      <c r="K5" t="str">
        <f t="shared" si="0"/>
        <v>C</v>
      </c>
      <c r="L5">
        <f t="shared" si="1"/>
        <v>3.1703193935840948</v>
      </c>
      <c r="M5">
        <f>J5</f>
        <v>1.8201113425309732</v>
      </c>
      <c r="N5" t="str">
        <f>I5</f>
        <v>C</v>
      </c>
      <c r="O5">
        <f>J5+J7+J11+J16+J23+J27+J31</f>
        <v>3.1703193935840948</v>
      </c>
      <c r="P5">
        <f aca="true" t="shared" si="3" ref="P5:P13">O5/$O$14*100</f>
        <v>41.37717819869609</v>
      </c>
      <c r="Q5">
        <f aca="true" t="shared" si="4" ref="Q5:Q13">T5/$T$14*100</f>
        <v>56.268842770155416</v>
      </c>
      <c r="S5">
        <v>12.011</v>
      </c>
      <c r="T5">
        <f aca="true" t="shared" si="5" ref="T5:T13">O5/S5</f>
        <v>0.26395132741521066</v>
      </c>
      <c r="U5">
        <f>S5</f>
        <v>12.011</v>
      </c>
      <c r="W5">
        <f>Y5/$Y$34*100</f>
        <v>32.30449331785047</v>
      </c>
      <c r="Y5">
        <f>M5/U5*1</f>
        <v>0.1515370362610085</v>
      </c>
    </row>
    <row r="6" spans="1:25" ht="12.75">
      <c r="A6" t="s">
        <v>46</v>
      </c>
      <c r="B6" s="3">
        <v>0.7842471662988513</v>
      </c>
      <c r="C6" s="3">
        <f t="shared" si="2"/>
        <v>10.235541194190175</v>
      </c>
      <c r="D6" s="3"/>
      <c r="E6" s="3"/>
      <c r="H6" t="s">
        <v>46</v>
      </c>
      <c r="I6" t="s">
        <v>46</v>
      </c>
      <c r="J6">
        <f>B6</f>
        <v>0.7842471662988513</v>
      </c>
      <c r="K6" t="str">
        <f t="shared" si="0"/>
        <v>Si</v>
      </c>
      <c r="L6">
        <f t="shared" si="1"/>
        <v>0.7842471662988513</v>
      </c>
      <c r="M6">
        <f>J6</f>
        <v>0.7842471662988513</v>
      </c>
      <c r="N6" t="str">
        <f>I6</f>
        <v>Si</v>
      </c>
      <c r="O6">
        <f>J6</f>
        <v>0.7842471662988513</v>
      </c>
      <c r="P6">
        <f t="shared" si="3"/>
        <v>10.235541194190175</v>
      </c>
      <c r="Q6">
        <f t="shared" si="4"/>
        <v>5.952606849229303</v>
      </c>
      <c r="S6">
        <v>28.086</v>
      </c>
      <c r="T6">
        <f t="shared" si="5"/>
        <v>0.027923063672251346</v>
      </c>
      <c r="U6">
        <f>S6</f>
        <v>28.086</v>
      </c>
      <c r="W6">
        <f>Y6/$Y$34*100</f>
        <v>5.952607006649357</v>
      </c>
      <c r="Y6">
        <f>M6/U6*1</f>
        <v>0.027923063672251346</v>
      </c>
    </row>
    <row r="7" spans="1:20" ht="12.75">
      <c r="A7" t="s">
        <v>38</v>
      </c>
      <c r="B7" s="3">
        <v>0.804423706295418</v>
      </c>
      <c r="C7" s="3">
        <f t="shared" si="2"/>
        <v>10.498873744393343</v>
      </c>
      <c r="D7" s="3"/>
      <c r="E7" s="3"/>
      <c r="H7" t="s">
        <v>38</v>
      </c>
      <c r="I7" s="3" t="s">
        <v>39</v>
      </c>
      <c r="J7">
        <f>MatCalc2!D17/100*$B$7</f>
        <v>0.5559640903125243</v>
      </c>
      <c r="K7" t="str">
        <f t="shared" si="0"/>
        <v>H</v>
      </c>
      <c r="L7">
        <f t="shared" si="1"/>
        <v>0.08785495418188555</v>
      </c>
      <c r="N7" t="str">
        <f>I8</f>
        <v>H</v>
      </c>
      <c r="O7">
        <f>J8+J12+J17+J24+J28+J32</f>
        <v>0.08785495418188555</v>
      </c>
      <c r="P7">
        <f t="shared" si="3"/>
        <v>1.1466321349763187</v>
      </c>
      <c r="Q7">
        <f t="shared" si="4"/>
        <v>18.582020911558196</v>
      </c>
      <c r="S7">
        <v>1.0079</v>
      </c>
      <c r="T7">
        <f t="shared" si="5"/>
        <v>0.08716634009513399</v>
      </c>
    </row>
    <row r="8" spans="1:20" ht="12.75">
      <c r="A8" t="s">
        <v>42</v>
      </c>
      <c r="B8" s="3">
        <v>0.7412875878478684</v>
      </c>
      <c r="C8" s="3">
        <f t="shared" si="2"/>
        <v>9.674857580890999</v>
      </c>
      <c r="D8" s="3"/>
      <c r="E8" s="3"/>
      <c r="I8" s="3" t="s">
        <v>40</v>
      </c>
      <c r="J8">
        <f>MatCalc2!D18/100*$B$7</f>
        <v>0.021206174893695678</v>
      </c>
      <c r="K8" t="str">
        <f t="shared" si="0"/>
        <v>N</v>
      </c>
      <c r="L8">
        <f t="shared" si="1"/>
        <v>0.10571028984944646</v>
      </c>
      <c r="N8" t="str">
        <f>I9</f>
        <v>N</v>
      </c>
      <c r="O8">
        <f>J9+J22</f>
        <v>0.10571028984944646</v>
      </c>
      <c r="P8">
        <f t="shared" si="3"/>
        <v>1.3796696665289276</v>
      </c>
      <c r="Q8">
        <f t="shared" si="4"/>
        <v>1.6088825064749461</v>
      </c>
      <c r="S8">
        <v>14.00674</v>
      </c>
      <c r="T8">
        <f t="shared" si="5"/>
        <v>0.007547101598904988</v>
      </c>
    </row>
    <row r="9" spans="1:20" ht="12.75">
      <c r="A9" t="s">
        <v>75</v>
      </c>
      <c r="B9" s="3">
        <v>0.40656666676040154</v>
      </c>
      <c r="C9" s="3">
        <f t="shared" si="2"/>
        <v>5.306273385022207</v>
      </c>
      <c r="D9" s="3"/>
      <c r="E9" s="3"/>
      <c r="I9" s="3" t="s">
        <v>41</v>
      </c>
      <c r="J9">
        <f>MatCalc2!D19/100*$B$7</f>
        <v>0.0589400793498417</v>
      </c>
      <c r="K9" t="str">
        <f t="shared" si="0"/>
        <v>O</v>
      </c>
      <c r="L9">
        <f t="shared" si="1"/>
        <v>0.5360367611101645</v>
      </c>
      <c r="N9" t="str">
        <f>I10</f>
        <v>O</v>
      </c>
      <c r="O9">
        <f>J10+J13+J15+J18+J25+J29+J33</f>
        <v>0.5360367611101645</v>
      </c>
      <c r="P9">
        <f t="shared" si="3"/>
        <v>6.996042301098466</v>
      </c>
      <c r="Q9">
        <f t="shared" si="4"/>
        <v>7.1422493990265945</v>
      </c>
      <c r="S9">
        <v>15.9994</v>
      </c>
      <c r="T9">
        <f t="shared" si="5"/>
        <v>0.033503553952658506</v>
      </c>
    </row>
    <row r="10" spans="1:25" ht="12.75">
      <c r="A10" t="s">
        <v>76</v>
      </c>
      <c r="B10" s="3">
        <v>0.17344590440589278</v>
      </c>
      <c r="C10" s="3">
        <f t="shared" si="2"/>
        <v>2.26371579751883</v>
      </c>
      <c r="D10" s="3"/>
      <c r="E10" s="3"/>
      <c r="I10" s="3" t="s">
        <v>31</v>
      </c>
      <c r="J10">
        <f>MatCalc2!D20/100*$B$7</f>
        <v>0.16831336173935638</v>
      </c>
      <c r="K10" t="str">
        <f t="shared" si="0"/>
        <v>Al</v>
      </c>
      <c r="L10">
        <f t="shared" si="1"/>
        <v>0.30526651498074336</v>
      </c>
      <c r="M10">
        <f>SUM(J7:J10)</f>
        <v>0.804423706295418</v>
      </c>
      <c r="N10" t="str">
        <f>I14</f>
        <v>Al</v>
      </c>
      <c r="O10">
        <f>J14+J21</f>
        <v>0.30526651498074336</v>
      </c>
      <c r="P10">
        <f t="shared" si="3"/>
        <v>3.984162294188767</v>
      </c>
      <c r="Q10">
        <f t="shared" si="4"/>
        <v>2.411933112505987</v>
      </c>
      <c r="S10">
        <v>26.981</v>
      </c>
      <c r="T10">
        <f t="shared" si="5"/>
        <v>0.011314129016001755</v>
      </c>
      <c r="U10">
        <f>MatCalc2!G21</f>
        <v>9.803371282051282</v>
      </c>
      <c r="W10">
        <f>Y10/$Y$34*100</f>
        <v>17.49256733634766</v>
      </c>
      <c r="Y10">
        <f>M10/U10*1</f>
        <v>0.08205582377240112</v>
      </c>
    </row>
    <row r="11" spans="1:20" ht="12.75">
      <c r="A11" t="s">
        <v>68</v>
      </c>
      <c r="B11" s="3">
        <v>0.4241338404766255</v>
      </c>
      <c r="C11" s="3">
        <f t="shared" si="2"/>
        <v>5.535549993169218</v>
      </c>
      <c r="D11" s="3"/>
      <c r="E11" s="3"/>
      <c r="H11" t="s">
        <v>42</v>
      </c>
      <c r="I11" t="s">
        <v>39</v>
      </c>
      <c r="J11">
        <f>MatCalc2!D25/100*$B$8</f>
        <v>0.5676340657789853</v>
      </c>
      <c r="K11" t="str">
        <f t="shared" si="0"/>
        <v>Sn</v>
      </c>
      <c r="L11">
        <f t="shared" si="1"/>
        <v>0.1544872148844166</v>
      </c>
      <c r="N11" t="str">
        <f>I19</f>
        <v>Sn</v>
      </c>
      <c r="O11">
        <f>J19</f>
        <v>0.1544872148844166</v>
      </c>
      <c r="P11">
        <f t="shared" si="3"/>
        <v>2.016277928535847</v>
      </c>
      <c r="Q11">
        <f t="shared" si="4"/>
        <v>0.27742741282014916</v>
      </c>
      <c r="S11">
        <v>118.71</v>
      </c>
      <c r="T11">
        <f t="shared" si="5"/>
        <v>0.0013013833281477266</v>
      </c>
    </row>
    <row r="12" spans="1:20" ht="12.75">
      <c r="A12" t="s">
        <v>77</v>
      </c>
      <c r="B12" s="3">
        <v>0.1368630550508591</v>
      </c>
      <c r="C12" s="3">
        <f t="shared" si="2"/>
        <v>1.7862575704888943</v>
      </c>
      <c r="D12" s="3"/>
      <c r="E12" s="3"/>
      <c r="I12" t="s">
        <v>40</v>
      </c>
      <c r="J12">
        <f>MatCalc2!D26/100*$B$8</f>
        <v>0.04763286777942213</v>
      </c>
      <c r="K12" t="str">
        <f t="shared" si="0"/>
        <v>Pb</v>
      </c>
      <c r="L12">
        <f t="shared" si="1"/>
        <v>0.2696466255922089</v>
      </c>
      <c r="N12" t="str">
        <f>I20</f>
        <v>Pb</v>
      </c>
      <c r="O12">
        <f>J20</f>
        <v>0.2696466255922089</v>
      </c>
      <c r="P12">
        <f t="shared" si="3"/>
        <v>3.519272064633371</v>
      </c>
      <c r="Q12">
        <f t="shared" si="4"/>
        <v>0.27742741282014916</v>
      </c>
      <c r="S12">
        <v>207.2</v>
      </c>
      <c r="T12">
        <f t="shared" si="5"/>
        <v>0.0013013833281477266</v>
      </c>
    </row>
    <row r="13" spans="1:25" ht="12.75">
      <c r="A13" t="s">
        <v>43</v>
      </c>
      <c r="B13" s="3">
        <v>0.09837617281085366</v>
      </c>
      <c r="C13" s="3">
        <f t="shared" si="2"/>
        <v>1.2839490056232532</v>
      </c>
      <c r="D13" s="3"/>
      <c r="E13" s="3"/>
      <c r="I13" t="s">
        <v>31</v>
      </c>
      <c r="J13">
        <f>MatCalc2!D27/100*$B$8</f>
        <v>0.12602065428946102</v>
      </c>
      <c r="K13" t="str">
        <f t="shared" si="0"/>
        <v>Ag</v>
      </c>
      <c r="L13">
        <f t="shared" si="1"/>
        <v>0.04660440842612233</v>
      </c>
      <c r="M13">
        <f>SUM(J11:J13)</f>
        <v>0.7412875878478684</v>
      </c>
      <c r="N13" t="str">
        <f>I26</f>
        <v>Ag</v>
      </c>
      <c r="O13">
        <f>J26+J30</f>
        <v>0.04660440842612233</v>
      </c>
      <c r="P13">
        <f t="shared" si="3"/>
        <v>0.6082538296283259</v>
      </c>
      <c r="Q13">
        <f t="shared" si="4"/>
        <v>0.09210383232158777</v>
      </c>
      <c r="S13">
        <v>107.8682</v>
      </c>
      <c r="T13">
        <f t="shared" si="5"/>
        <v>0.0004320495607243129</v>
      </c>
      <c r="U13">
        <f>MatCalc2!G28</f>
        <v>7.239446153846154</v>
      </c>
      <c r="W13">
        <f>Y13/$Y$34*100</f>
        <v>21.828582308299385</v>
      </c>
      <c r="Y13">
        <f>M13/U13*1</f>
        <v>0.10239562144599129</v>
      </c>
    </row>
    <row r="14" spans="1:20" ht="12.75">
      <c r="A14" t="s">
        <v>78</v>
      </c>
      <c r="B14">
        <v>0.035297763001900975</v>
      </c>
      <c r="C14" s="3">
        <f t="shared" si="2"/>
        <v>0.4606860219512004</v>
      </c>
      <c r="H14" t="s">
        <v>75</v>
      </c>
      <c r="I14" t="s">
        <v>53</v>
      </c>
      <c r="J14">
        <f>MatCalc2!D74/100*CompCalc!$B$9</f>
        <v>0.21517367042948904</v>
      </c>
      <c r="K14" t="str">
        <f t="shared" si="0"/>
        <v>Summa</v>
      </c>
      <c r="L14">
        <f t="shared" si="1"/>
        <v>7.662000000000001</v>
      </c>
      <c r="N14" t="s">
        <v>61</v>
      </c>
      <c r="O14">
        <f>SUM(O4:O13)</f>
        <v>7.662000000000001</v>
      </c>
      <c r="P14">
        <f>SUM(P4:P13)</f>
        <v>99.99999999999999</v>
      </c>
      <c r="Q14">
        <f>SUM(Q4:Q13)</f>
        <v>100</v>
      </c>
      <c r="T14">
        <f>SUM(T4:T13)</f>
        <v>0.4690896674264084</v>
      </c>
    </row>
    <row r="15" spans="1:25" ht="12.75">
      <c r="A15" t="s">
        <v>79</v>
      </c>
      <c r="B15">
        <v>0.03542012342828962</v>
      </c>
      <c r="C15" s="3">
        <f t="shared" si="2"/>
        <v>0.46228299958613434</v>
      </c>
      <c r="I15" t="s">
        <v>31</v>
      </c>
      <c r="J15">
        <f>MatCalc2!D75/100*CompCalc!$B$9</f>
        <v>0.19139299633091247</v>
      </c>
      <c r="M15">
        <f>SUM(J14:J15)</f>
        <v>0.40656666676040154</v>
      </c>
      <c r="U15">
        <f>MatCalc2!G76</f>
        <v>20.392039999999998</v>
      </c>
      <c r="W15">
        <f>Y15/$Y$34*100</f>
        <v>4.250257470966901</v>
      </c>
      <c r="Y15">
        <f>M15/U15*1</f>
        <v>0.019937518108065773</v>
      </c>
    </row>
    <row r="16" spans="1:10" ht="12.75">
      <c r="A16" t="s">
        <v>61</v>
      </c>
      <c r="B16">
        <f>SUM(B4:B15)</f>
        <v>7.662000000000001</v>
      </c>
      <c r="C16">
        <f>SUM(C4:C15)</f>
        <v>100.00000000000001</v>
      </c>
      <c r="H16" t="s">
        <v>76</v>
      </c>
      <c r="I16" t="s">
        <v>39</v>
      </c>
      <c r="J16">
        <f>MatCalc2!D25/100*CompCalc!$B$10</f>
        <v>0.13281458576213936</v>
      </c>
    </row>
    <row r="17" spans="9:10" ht="12.75">
      <c r="I17" t="s">
        <v>40</v>
      </c>
      <c r="J17">
        <f>MatCalc2!D26/100*CompCalc!$B$10</f>
        <v>0.011145102072238802</v>
      </c>
    </row>
    <row r="18" spans="9:25" ht="12.75">
      <c r="I18" t="s">
        <v>31</v>
      </c>
      <c r="J18">
        <f>MatCalc2!D27/100*CompCalc!$B$10</f>
        <v>0.02948621657151462</v>
      </c>
      <c r="M18">
        <f>SUM(J16:J18)</f>
        <v>0.1734459044058928</v>
      </c>
      <c r="U18">
        <f>U13</f>
        <v>7.239446153846154</v>
      </c>
      <c r="W18">
        <f>Y18/$Y$34*100</f>
        <v>5.107435039285266</v>
      </c>
      <c r="Y18">
        <f>M18/U18*1</f>
        <v>0.023958449406208365</v>
      </c>
    </row>
    <row r="19" spans="8:10" ht="12.75">
      <c r="H19" t="s">
        <v>68</v>
      </c>
      <c r="I19" t="s">
        <v>69</v>
      </c>
      <c r="J19">
        <f>MatCalc2!D62/100*CompCalc!$B$11</f>
        <v>0.1544872148844166</v>
      </c>
    </row>
    <row r="20" spans="9:25" ht="12.75">
      <c r="I20" t="s">
        <v>70</v>
      </c>
      <c r="J20">
        <f>MatCalc2!D63/100*CompCalc!$B$11</f>
        <v>0.2696466255922089</v>
      </c>
      <c r="M20">
        <f>SUM(J19:J20)</f>
        <v>0.4241338404766255</v>
      </c>
      <c r="U20">
        <f>MatCalc2!G64</f>
        <v>162.955</v>
      </c>
      <c r="W20">
        <f>Y20/$Y$34*100</f>
        <v>0.5548548403137478</v>
      </c>
      <c r="Y20">
        <f>M20/U20*1</f>
        <v>0.0026027666562954527</v>
      </c>
    </row>
    <row r="21" spans="8:10" ht="12.75">
      <c r="H21" t="s">
        <v>77</v>
      </c>
      <c r="I21" t="s">
        <v>53</v>
      </c>
      <c r="J21">
        <f>MatCalc2!D68/100*CompCalc!$B$12</f>
        <v>0.09009284455125434</v>
      </c>
    </row>
    <row r="22" spans="9:25" ht="12.75">
      <c r="I22" t="s">
        <v>41</v>
      </c>
      <c r="J22">
        <f>MatCalc2!D69/100*CompCalc!$B$12</f>
        <v>0.04677021049960476</v>
      </c>
      <c r="M22">
        <f>SUM(J21:J22)</f>
        <v>0.1368630550508591</v>
      </c>
      <c r="U22">
        <f>MatCalc2!G70</f>
        <v>20.49387</v>
      </c>
      <c r="W22">
        <f>Y22/$Y$34*100</f>
        <v>1.4236603758083235</v>
      </c>
      <c r="Y22">
        <f>M22/U22*1</f>
        <v>0.006678243545550894</v>
      </c>
    </row>
    <row r="23" spans="8:10" ht="12.75">
      <c r="H23" t="s">
        <v>43</v>
      </c>
      <c r="I23" t="s">
        <v>39</v>
      </c>
      <c r="J23">
        <f>MatCalc2!D32/100*CompCalc!$B$13</f>
        <v>0.049067179852214544</v>
      </c>
    </row>
    <row r="24" spans="9:10" ht="12.75">
      <c r="I24" t="s">
        <v>40</v>
      </c>
      <c r="J24">
        <f>MatCalc2!D33/100*CompCalc!$B$13</f>
        <v>0.004117459876200736</v>
      </c>
    </row>
    <row r="25" spans="9:10" ht="12.75">
      <c r="I25" t="s">
        <v>31</v>
      </c>
      <c r="J25">
        <f>MatCalc2!D34/100*CompCalc!$B$13</f>
        <v>0.010893423213825124</v>
      </c>
    </row>
    <row r="26" spans="9:25" ht="12.75">
      <c r="I26" t="s">
        <v>44</v>
      </c>
      <c r="J26">
        <f>MatCalc2!D35/100*CompCalc!$B$13</f>
        <v>0.03429810986861326</v>
      </c>
      <c r="M26">
        <f>SUM(J23:J26)</f>
        <v>0.09837617281085366</v>
      </c>
      <c r="U26">
        <f>U30</f>
        <v>10.728985624118215</v>
      </c>
      <c r="W26">
        <f>Y26/$Y$34*100</f>
        <v>1.9546788062846754</v>
      </c>
      <c r="Y26">
        <f>M26/U26*1</f>
        <v>0.009169196069170698</v>
      </c>
    </row>
    <row r="27" spans="8:10" ht="12.75">
      <c r="H27" t="s">
        <v>78</v>
      </c>
      <c r="I27" t="s">
        <v>39</v>
      </c>
      <c r="J27">
        <f>MatCalc2!D32/100*$B$14</f>
        <v>0.017605499747638437</v>
      </c>
    </row>
    <row r="28" spans="9:10" ht="12.75">
      <c r="I28" t="s">
        <v>40</v>
      </c>
      <c r="J28">
        <f>MatCalc2!D33/100*$B$14</f>
        <v>0.0014773610187032537</v>
      </c>
    </row>
    <row r="29" spans="9:10" ht="12.75">
      <c r="I29" t="s">
        <v>31</v>
      </c>
      <c r="J29">
        <f>MatCalc2!D34/100*$B$14</f>
        <v>0.00390860367805021</v>
      </c>
    </row>
    <row r="30" spans="9:25" ht="12.75">
      <c r="I30" t="s">
        <v>44</v>
      </c>
      <c r="J30">
        <f>MatCalc2!D35/100*$B$14</f>
        <v>0.012306298557509074</v>
      </c>
      <c r="M30">
        <f>SUM(J27:J30)</f>
        <v>0.035297763001900975</v>
      </c>
      <c r="U30">
        <f>MatCalc2!G36</f>
        <v>10.728985624118215</v>
      </c>
      <c r="W30">
        <f>Y30/$Y$34*100</f>
        <v>0.7013465484343684</v>
      </c>
      <c r="Y30">
        <f>M30/U30*1</f>
        <v>0.003289944104552941</v>
      </c>
    </row>
    <row r="31" spans="8:10" ht="12.75">
      <c r="H31" t="s">
        <v>79</v>
      </c>
      <c r="I31" t="s">
        <v>39</v>
      </c>
      <c r="J31">
        <f>MatCalc2!D25/100*$B$15</f>
        <v>0.02712262959962003</v>
      </c>
    </row>
    <row r="32" spans="9:10" ht="12.75">
      <c r="I32" t="s">
        <v>40</v>
      </c>
      <c r="J32">
        <f>MatCalc2!D26/100*$B$15</f>
        <v>0.002275988541624929</v>
      </c>
    </row>
    <row r="33" spans="9:25" ht="12.75">
      <c r="I33" t="s">
        <v>31</v>
      </c>
      <c r="J33">
        <f>MatCalc2!D27/100*$B$15</f>
        <v>0.006021505287044662</v>
      </c>
      <c r="M33">
        <f>SUM(J31:J33)</f>
        <v>0.035420123428289624</v>
      </c>
      <c r="U33">
        <f>U18</f>
        <v>7.239446153846154</v>
      </c>
      <c r="W33">
        <f>Y33/$Y$34*100</f>
        <v>1.0430109613318095</v>
      </c>
      <c r="Y33">
        <f>M33/U33*1</f>
        <v>0.004892656520343302</v>
      </c>
    </row>
    <row r="34" spans="8:25" ht="12.75">
      <c r="H34" t="s">
        <v>61</v>
      </c>
      <c r="J34">
        <f>SUM(J4:J33)</f>
        <v>7.662</v>
      </c>
      <c r="M34">
        <f>SUM(M4:M33)</f>
        <v>7.662000000000001</v>
      </c>
      <c r="W34">
        <f>SUM(W4:W33)</f>
        <v>100</v>
      </c>
      <c r="Y34">
        <f>SUM(Y4:Y33)</f>
        <v>0.4690896550210672</v>
      </c>
    </row>
    <row r="37" spans="1:16" ht="12.75">
      <c r="A37" s="9" t="s">
        <v>88</v>
      </c>
      <c r="H37" s="9" t="s">
        <v>87</v>
      </c>
      <c r="P37" s="9" t="s">
        <v>93</v>
      </c>
    </row>
    <row r="38" spans="2:32" ht="12.75">
      <c r="B38" t="s">
        <v>89</v>
      </c>
      <c r="D38" t="s">
        <v>90</v>
      </c>
      <c r="F38" t="s">
        <v>91</v>
      </c>
      <c r="J38" t="s">
        <v>92</v>
      </c>
      <c r="L38" t="str">
        <f>D38</f>
        <v>Middle long and short</v>
      </c>
      <c r="N38" t="str">
        <f>F38</f>
        <v>Inner</v>
      </c>
      <c r="Q38" t="str">
        <f>J38</f>
        <v>Outer</v>
      </c>
      <c r="T38" t="str">
        <f>L38</f>
        <v>Middle long and short</v>
      </c>
      <c r="W38" t="str">
        <f>N38</f>
        <v>Inner</v>
      </c>
      <c r="AF38" t="str">
        <f>W3</f>
        <v>vol % Material</v>
      </c>
    </row>
    <row r="39" spans="1:36" ht="12.75">
      <c r="A39" t="s">
        <v>8</v>
      </c>
      <c r="B39" t="s">
        <v>80</v>
      </c>
      <c r="C39" s="3" t="s">
        <v>60</v>
      </c>
      <c r="D39" t="s">
        <v>80</v>
      </c>
      <c r="E39" s="3" t="s">
        <v>60</v>
      </c>
      <c r="F39" t="s">
        <v>80</v>
      </c>
      <c r="G39" s="3" t="s">
        <v>60</v>
      </c>
      <c r="H39" s="3" t="s">
        <v>8</v>
      </c>
      <c r="I39" s="3" t="s">
        <v>58</v>
      </c>
      <c r="J39" s="3" t="s">
        <v>80</v>
      </c>
      <c r="K39" t="s">
        <v>82</v>
      </c>
      <c r="L39" t="str">
        <f>J39</f>
        <v>Weight [g]</v>
      </c>
      <c r="M39" t="str">
        <f>K39</f>
        <v>Summary</v>
      </c>
      <c r="N39" t="str">
        <f>J39</f>
        <v>Weight [g]</v>
      </c>
      <c r="O39" t="str">
        <f>M39</f>
        <v>Summary</v>
      </c>
      <c r="P39" t="s">
        <v>58</v>
      </c>
      <c r="Q39" t="str">
        <f>O3</f>
        <v>Weight [g]</v>
      </c>
      <c r="R39" t="s">
        <v>60</v>
      </c>
      <c r="S39" t="s">
        <v>59</v>
      </c>
      <c r="T39" t="str">
        <f>Q39</f>
        <v>Weight [g]</v>
      </c>
      <c r="U39" t="s">
        <v>60</v>
      </c>
      <c r="V39" t="s">
        <v>59</v>
      </c>
      <c r="W39" t="str">
        <f>T39</f>
        <v>Weight [g]</v>
      </c>
      <c r="X39" t="s">
        <v>60</v>
      </c>
      <c r="Y39" t="s">
        <v>59</v>
      </c>
      <c r="AA39" t="s">
        <v>103</v>
      </c>
      <c r="AE39" t="str">
        <f>U3</f>
        <v>AtNo.</v>
      </c>
      <c r="AF39" t="str">
        <f>Q38</f>
        <v>Outer</v>
      </c>
      <c r="AH39" t="s">
        <v>90</v>
      </c>
      <c r="AJ39" t="s">
        <v>91</v>
      </c>
    </row>
    <row r="40" spans="1:37" ht="12.75">
      <c r="A40" t="s">
        <v>83</v>
      </c>
      <c r="B40">
        <v>2.808821508328343</v>
      </c>
      <c r="C40" s="3">
        <f>B40/B$50*100</f>
        <v>48.94495930056924</v>
      </c>
      <c r="D40">
        <v>2.6435852993281688</v>
      </c>
      <c r="E40" s="3">
        <f>D40/D$50*100</f>
        <v>48.14822042921508</v>
      </c>
      <c r="F40">
        <v>1.3266460629862122</v>
      </c>
      <c r="G40" s="3">
        <f aca="true" t="shared" si="6" ref="G40:G49">F40/F$50*100</f>
        <v>34.365393835206405</v>
      </c>
      <c r="H40" t="s">
        <v>83</v>
      </c>
      <c r="I40" t="s">
        <v>39</v>
      </c>
      <c r="J40">
        <f>B40</f>
        <v>2.808821508328343</v>
      </c>
      <c r="K40">
        <f>J40</f>
        <v>2.808821508328343</v>
      </c>
      <c r="L40">
        <f>D40</f>
        <v>2.6435852993281688</v>
      </c>
      <c r="M40">
        <f>L40</f>
        <v>2.6435852993281688</v>
      </c>
      <c r="N40">
        <f>F40</f>
        <v>1.3266460629862122</v>
      </c>
      <c r="O40">
        <f>N40</f>
        <v>1.3266460629862122</v>
      </c>
      <c r="P40" t="str">
        <f>I40</f>
        <v>C</v>
      </c>
      <c r="Q40">
        <f>J40+J45+J49+J52+J74</f>
        <v>3.3845948075347065</v>
      </c>
      <c r="R40">
        <f>Q40/Q$52*100</f>
        <v>58.97806414986309</v>
      </c>
      <c r="S40">
        <f>AB40/AB$52*100</f>
        <v>63.96845102915274</v>
      </c>
      <c r="T40">
        <f>L40+L45+L49+L52+L74</f>
        <v>3.1916930335809193</v>
      </c>
      <c r="U40">
        <f>T40/T$52*100</f>
        <v>58.131031278732884</v>
      </c>
      <c r="V40">
        <f>AC40/$AC$52*100</f>
        <v>63.31311213019243</v>
      </c>
      <c r="W40">
        <f>N40+N45+N49+N52+N74</f>
        <v>1.6677461383738783</v>
      </c>
      <c r="X40">
        <f>W40/W$52*100</f>
        <v>43.20123841724212</v>
      </c>
      <c r="Y40">
        <f>AD40/$AD$52*100</f>
        <v>51.29389715272066</v>
      </c>
      <c r="AA40">
        <v>12.011</v>
      </c>
      <c r="AB40">
        <f>Q40/$AA40</f>
        <v>0.28179125864080484</v>
      </c>
      <c r="AC40">
        <f>T40/$AA40</f>
        <v>0.2657308328682807</v>
      </c>
      <c r="AD40">
        <f>W40/$AA40</f>
        <v>0.13885156426391462</v>
      </c>
      <c r="AE40">
        <f>AA40</f>
        <v>12.011</v>
      </c>
      <c r="AF40">
        <f>K40/$AE$40</f>
        <v>0.23385409277565092</v>
      </c>
      <c r="AG40">
        <f>AF40/AF$77*100</f>
        <v>53.08640216109238</v>
      </c>
      <c r="AH40">
        <f>M40/$AE$40</f>
        <v>0.2200970193429497</v>
      </c>
      <c r="AI40">
        <f>AH40/AH$77*100</f>
        <v>52.4403853130913</v>
      </c>
      <c r="AJ40">
        <f>O40/$AE$40</f>
        <v>0.11045259037434121</v>
      </c>
      <c r="AK40">
        <f>AJ40/AJ$77*100</f>
        <v>40.80288069455643</v>
      </c>
    </row>
    <row r="41" spans="1:30" ht="12.75">
      <c r="A41" t="s">
        <v>84</v>
      </c>
      <c r="B41">
        <v>0.8669463501201289</v>
      </c>
      <c r="C41" s="3">
        <f aca="true" t="shared" si="7" ref="C41:E49">B41/B$50*100</f>
        <v>15.106924272899189</v>
      </c>
      <c r="D41">
        <v>0.8651111028426857</v>
      </c>
      <c r="E41" s="3">
        <f t="shared" si="7"/>
        <v>15.756465314743831</v>
      </c>
      <c r="F41">
        <v>0.847726195896546</v>
      </c>
      <c r="G41" s="3">
        <f t="shared" si="6"/>
        <v>21.959470124857944</v>
      </c>
      <c r="H41" t="s">
        <v>84</v>
      </c>
      <c r="I41" t="s">
        <v>53</v>
      </c>
      <c r="J41">
        <f>MatCalc2!$D68/100*CompCalc!B$41</f>
        <v>0.570684782146837</v>
      </c>
      <c r="L41">
        <f>MatCalc2!$D68/100*CompCalc!D$41</f>
        <v>0.5694766939040431</v>
      </c>
      <c r="N41">
        <f>MatCalc2!$D68/100*CompCalc!F$41</f>
        <v>0.5580327310431048</v>
      </c>
      <c r="P41" t="str">
        <f>I41</f>
        <v>Al</v>
      </c>
      <c r="Q41">
        <f>J41+J48+J57+J66+J73</f>
        <v>0.7155275649727962</v>
      </c>
      <c r="R41">
        <f aca="true" t="shared" si="8" ref="R41:R51">Q41/Q$52*100</f>
        <v>12.468384851863295</v>
      </c>
      <c r="S41">
        <f aca="true" t="shared" si="9" ref="S41:S51">AB41/AB$52*100</f>
        <v>6.02014074750201</v>
      </c>
      <c r="T41">
        <f>L41+L48+L57+L66+L73</f>
        <v>0.7091238192897861</v>
      </c>
      <c r="U41">
        <f aca="true" t="shared" si="10" ref="U41:U51">T41/T$52*100</f>
        <v>12.91543343483128</v>
      </c>
      <c r="V41">
        <f aca="true" t="shared" si="11" ref="V41:V51">AC41/$AC$52*100</f>
        <v>6.262038658825304</v>
      </c>
      <c r="W41">
        <f>N41+N48+N57+N66+N73</f>
        <v>0.6948735668411293</v>
      </c>
      <c r="X41">
        <f aca="true" t="shared" si="12" ref="X41:X51">W41/W$52*100</f>
        <v>17.999980896500965</v>
      </c>
      <c r="Y41">
        <f aca="true" t="shared" si="13" ref="Y41:Y51">AD41/$AD$52*100</f>
        <v>9.513989533443315</v>
      </c>
      <c r="AA41">
        <v>26.981</v>
      </c>
      <c r="AB41">
        <f aca="true" t="shared" si="14" ref="AB41:AB51">Q41/$AA41</f>
        <v>0.026519682924013053</v>
      </c>
      <c r="AC41">
        <f aca="true" t="shared" si="15" ref="AC41:AC51">T41/$AA41</f>
        <v>0.026282340138978764</v>
      </c>
      <c r="AD41">
        <f aca="true" t="shared" si="16" ref="AD41:AD51">W41/$AA41</f>
        <v>0.025754181343950532</v>
      </c>
    </row>
    <row r="42" spans="1:37" ht="12.75">
      <c r="A42" t="s">
        <v>45</v>
      </c>
      <c r="B42">
        <v>0.029892543499666253</v>
      </c>
      <c r="C42" s="3">
        <f t="shared" si="7"/>
        <v>0.5208908151135638</v>
      </c>
      <c r="D42">
        <v>0.030829659401263223</v>
      </c>
      <c r="E42" s="3">
        <f t="shared" si="7"/>
        <v>0.561507599920034</v>
      </c>
      <c r="F42">
        <v>0.030210119600986716</v>
      </c>
      <c r="G42" s="3">
        <f t="shared" si="6"/>
        <v>0.7825618956420834</v>
      </c>
      <c r="I42" t="s">
        <v>41</v>
      </c>
      <c r="J42">
        <f>MatCalc2!$D69/100*CompCalc!B$41</f>
        <v>0.2962615679732918</v>
      </c>
      <c r="K42">
        <f>SUM(J41:J42)</f>
        <v>0.8669463501201289</v>
      </c>
      <c r="L42">
        <f>MatCalc2!$D69/100*CompCalc!D$41</f>
        <v>0.29563440893864257</v>
      </c>
      <c r="M42">
        <f>SUM(L41:L42)</f>
        <v>0.8651111028426857</v>
      </c>
      <c r="N42">
        <f>MatCalc2!$D69/100*CompCalc!F$41</f>
        <v>0.28969346485344116</v>
      </c>
      <c r="O42">
        <f>SUM(N41:N42)</f>
        <v>0.847726195896546</v>
      </c>
      <c r="P42" t="str">
        <f>I42</f>
        <v>N</v>
      </c>
      <c r="Q42">
        <f>J42</f>
        <v>0.2962615679732918</v>
      </c>
      <c r="R42">
        <f t="shared" si="8"/>
        <v>5.162489087961131</v>
      </c>
      <c r="S42">
        <f t="shared" si="9"/>
        <v>4.801495957898001</v>
      </c>
      <c r="T42">
        <f>L42</f>
        <v>0.29563440893864257</v>
      </c>
      <c r="U42">
        <f t="shared" si="10"/>
        <v>5.38445674200712</v>
      </c>
      <c r="V42">
        <f t="shared" si="11"/>
        <v>5.028860934467987</v>
      </c>
      <c r="W42">
        <f>N42</f>
        <v>0.28969346485344116</v>
      </c>
      <c r="X42">
        <f t="shared" si="12"/>
        <v>7.50420951671531</v>
      </c>
      <c r="Y42">
        <f t="shared" si="13"/>
        <v>7.640408004866191</v>
      </c>
      <c r="AA42">
        <v>14.00674</v>
      </c>
      <c r="AB42">
        <f t="shared" si="14"/>
        <v>0.021151357701598785</v>
      </c>
      <c r="AC42">
        <f t="shared" si="15"/>
        <v>0.021106582183908786</v>
      </c>
      <c r="AD42">
        <f t="shared" si="16"/>
        <v>0.020682433232389632</v>
      </c>
      <c r="AE42">
        <f>MatCalc2!G70</f>
        <v>20.49387</v>
      </c>
      <c r="AF42">
        <f>K42/$AE$42</f>
        <v>0.042302715403197584</v>
      </c>
      <c r="AG42">
        <f>AF42/AF$77*100</f>
        <v>9.602991915796004</v>
      </c>
      <c r="AH42">
        <f>M42/$AE$42</f>
        <v>0.04221316436781758</v>
      </c>
      <c r="AI42">
        <f>AH42/AH$77*100</f>
        <v>10.057721868935976</v>
      </c>
      <c r="AJ42">
        <f>O42/$AE$42</f>
        <v>0.04136486646477927</v>
      </c>
      <c r="AK42">
        <f>AJ42/AJ$77*100</f>
        <v>15.280816009732387</v>
      </c>
    </row>
    <row r="43" spans="1:30" ht="12.75">
      <c r="A43" t="s">
        <v>85</v>
      </c>
      <c r="B43">
        <v>0.051484353560007655</v>
      </c>
      <c r="C43" s="3">
        <f t="shared" si="7"/>
        <v>0.8971376722013205</v>
      </c>
      <c r="D43">
        <v>0.04963755761056646</v>
      </c>
      <c r="E43" s="3">
        <f t="shared" si="7"/>
        <v>0.904060128496248</v>
      </c>
      <c r="F43">
        <v>0.048640062240020654</v>
      </c>
      <c r="G43" s="3">
        <f t="shared" si="6"/>
        <v>1.2599704937764051</v>
      </c>
      <c r="H43" t="s">
        <v>45</v>
      </c>
      <c r="I43" t="s">
        <v>46</v>
      </c>
      <c r="J43">
        <f>MatCalc2!$D40/100*CompCalc!B$42</f>
        <v>0.0278907565903576</v>
      </c>
      <c r="L43">
        <f>MatCalc2!$D40/100*CompCalc!D$42</f>
        <v>0.028765117499414614</v>
      </c>
      <c r="N43">
        <f>MatCalc2!$D40/100*CompCalc!F$42</f>
        <v>0.028187065860291176</v>
      </c>
      <c r="P43" t="str">
        <f>I43</f>
        <v>Si</v>
      </c>
      <c r="Q43">
        <f>J43+J55+J64</f>
        <v>0.34617948897404394</v>
      </c>
      <c r="R43">
        <f t="shared" si="8"/>
        <v>6.032330978770676</v>
      </c>
      <c r="S43">
        <f t="shared" si="9"/>
        <v>2.7980131979600684</v>
      </c>
      <c r="T43">
        <f>L43+L55+L64</f>
        <v>0.3356365104183287</v>
      </c>
      <c r="U43">
        <f t="shared" si="10"/>
        <v>6.113024116082484</v>
      </c>
      <c r="V43">
        <f t="shared" si="11"/>
        <v>2.8472855135095516</v>
      </c>
      <c r="W43">
        <f>N43+N55+N64</f>
        <v>0.328891701015032</v>
      </c>
      <c r="X43">
        <f t="shared" si="12"/>
        <v>8.519599273578063</v>
      </c>
      <c r="Y43">
        <f t="shared" si="13"/>
        <v>4.325914618249303</v>
      </c>
      <c r="AA43">
        <v>28.086</v>
      </c>
      <c r="AB43">
        <f t="shared" si="14"/>
        <v>0.012325695683758598</v>
      </c>
      <c r="AC43">
        <f t="shared" si="15"/>
        <v>0.011950313694307794</v>
      </c>
      <c r="AD43">
        <f t="shared" si="16"/>
        <v>0.011710165243004772</v>
      </c>
    </row>
    <row r="44" spans="1:37" ht="12.75">
      <c r="A44" t="s">
        <v>86</v>
      </c>
      <c r="B44">
        <v>0.11894979164655022</v>
      </c>
      <c r="C44" s="3">
        <f t="shared" si="7"/>
        <v>2.0727528230928858</v>
      </c>
      <c r="D44">
        <v>0.11468294204643471</v>
      </c>
      <c r="E44" s="3">
        <f t="shared" si="7"/>
        <v>2.088746511991091</v>
      </c>
      <c r="F44">
        <v>0.11237832213202661</v>
      </c>
      <c r="G44" s="3">
        <f t="shared" si="6"/>
        <v>2.911044178515701</v>
      </c>
      <c r="I44" t="s">
        <v>40</v>
      </c>
      <c r="J44">
        <f>MatCalc2!$D41/100*CompCalc!B$42</f>
        <v>0.002001786909308654</v>
      </c>
      <c r="K44">
        <f>SUM(J43:J44)</f>
        <v>0.029892543499666253</v>
      </c>
      <c r="L44">
        <f>MatCalc2!$D41/100*CompCalc!D$42</f>
        <v>0.0020645419018486075</v>
      </c>
      <c r="M44">
        <f>SUM(L43:L44)</f>
        <v>0.03082965940126322</v>
      </c>
      <c r="N44">
        <f>MatCalc2!$D41/100*CompCalc!F$42</f>
        <v>0.002023053740695541</v>
      </c>
      <c r="O44">
        <f>SUM(N43:N44)</f>
        <v>0.030210119600986716</v>
      </c>
      <c r="P44" t="str">
        <f>I44</f>
        <v>H</v>
      </c>
      <c r="Q44">
        <f>J44+J46+J50+J53+J75</f>
        <v>0.05031765638479729</v>
      </c>
      <c r="R44">
        <f t="shared" si="8"/>
        <v>0.8768074569891957</v>
      </c>
      <c r="S44">
        <f t="shared" si="9"/>
        <v>11.33290576470776</v>
      </c>
      <c r="T44">
        <f>L44+L46+L50+L53+L75</f>
        <v>0.04805886255402969</v>
      </c>
      <c r="U44">
        <f t="shared" si="10"/>
        <v>0.8753069963041591</v>
      </c>
      <c r="V44">
        <f t="shared" si="11"/>
        <v>11.360769683763046</v>
      </c>
      <c r="W44">
        <f>N44+N46+N50+N53+N75</f>
        <v>0.03064637952399657</v>
      </c>
      <c r="X44">
        <f t="shared" si="12"/>
        <v>0.7938627576331135</v>
      </c>
      <c r="Y44">
        <f t="shared" si="13"/>
        <v>11.232505768318743</v>
      </c>
      <c r="AA44">
        <v>1.0079</v>
      </c>
      <c r="AB44">
        <f t="shared" si="14"/>
        <v>0.04992326261017689</v>
      </c>
      <c r="AC44">
        <f t="shared" si="15"/>
        <v>0.04768217338429377</v>
      </c>
      <c r="AD44">
        <f t="shared" si="16"/>
        <v>0.030406170774875056</v>
      </c>
      <c r="AE44">
        <f>MatCalc2!G42</f>
        <v>10.033933333333332</v>
      </c>
      <c r="AF44">
        <f>K44/$AE$44</f>
        <v>0.002979145117534459</v>
      </c>
      <c r="AG44">
        <f>AF44/AF$77*100</f>
        <v>0.6762853449711189</v>
      </c>
      <c r="AH44">
        <f>M44/$AE$44</f>
        <v>0.003072539788444202</v>
      </c>
      <c r="AI44">
        <f>AH44/AH$77*100</f>
        <v>0.7320642999928896</v>
      </c>
      <c r="AJ44">
        <f>O44/$AE$44</f>
        <v>0.0030107953279524865</v>
      </c>
      <c r="AK44">
        <f>AJ44/AJ$77*100</f>
        <v>1.112233965231763</v>
      </c>
    </row>
    <row r="45" spans="1:30" ht="12.75">
      <c r="A45" t="s">
        <v>85</v>
      </c>
      <c r="B45">
        <v>0.005108745630523772</v>
      </c>
      <c r="C45" s="3">
        <f t="shared" si="7"/>
        <v>0.08902215616817938</v>
      </c>
      <c r="D45">
        <v>0.004925489746264101</v>
      </c>
      <c r="E45" s="3">
        <f t="shared" si="7"/>
        <v>0.08970906521731374</v>
      </c>
      <c r="F45">
        <v>0.004826509186863584</v>
      </c>
      <c r="G45" s="3">
        <f t="shared" si="6"/>
        <v>0.12502572742156678</v>
      </c>
      <c r="H45" t="s">
        <v>85</v>
      </c>
      <c r="I45" t="s">
        <v>39</v>
      </c>
      <c r="J45">
        <f>MatCalc2!$D25/100*CompCalc!B$43</f>
        <v>0.03942366419504586</v>
      </c>
      <c r="L45">
        <f>MatCalc2!$D25/100*CompCalc!D$43</f>
        <v>0.03800949739847378</v>
      </c>
      <c r="N45">
        <f>MatCalc2!$D25/100*CompCalc!F$43</f>
        <v>0.03724567460950401</v>
      </c>
      <c r="P45" t="str">
        <f>I47</f>
        <v>O</v>
      </c>
      <c r="Q45">
        <f>J47+J51+J54+J63+J72+J76</f>
        <v>0.6404047492913622</v>
      </c>
      <c r="R45">
        <f t="shared" si="8"/>
        <v>11.159336503589918</v>
      </c>
      <c r="S45">
        <f t="shared" si="9"/>
        <v>9.086343804816172</v>
      </c>
      <c r="T45">
        <f>L47+L51+L54+L63+L72+L76</f>
        <v>0.6158760465432015</v>
      </c>
      <c r="U45">
        <f t="shared" si="10"/>
        <v>11.217090537449868</v>
      </c>
      <c r="V45">
        <f t="shared" si="11"/>
        <v>9.171520262067483</v>
      </c>
      <c r="W45">
        <f>N47+N51+N54+N63+N72+N76</f>
        <v>0.5599871555204481</v>
      </c>
      <c r="X45">
        <f t="shared" si="12"/>
        <v>14.505887952359743</v>
      </c>
      <c r="Y45">
        <f t="shared" si="13"/>
        <v>12.929725036731071</v>
      </c>
      <c r="AA45">
        <v>15.9994</v>
      </c>
      <c r="AB45">
        <f t="shared" si="14"/>
        <v>0.04002679783562897</v>
      </c>
      <c r="AC45">
        <f t="shared" si="15"/>
        <v>0.03849369642256594</v>
      </c>
      <c r="AD45">
        <f t="shared" si="16"/>
        <v>0.035000509739143225</v>
      </c>
    </row>
    <row r="46" spans="1:30" ht="12.75">
      <c r="A46" t="s">
        <v>49</v>
      </c>
      <c r="B46">
        <v>0.36697605636038644</v>
      </c>
      <c r="C46" s="3">
        <f t="shared" si="7"/>
        <v>6.394720379912035</v>
      </c>
      <c r="D46">
        <v>0.35381225323254223</v>
      </c>
      <c r="E46" s="3">
        <f t="shared" si="7"/>
        <v>6.444063054642886</v>
      </c>
      <c r="F46">
        <v>0.34670219178651507</v>
      </c>
      <c r="G46" s="3">
        <f t="shared" si="6"/>
        <v>8.980961611911617</v>
      </c>
      <c r="I46" t="s">
        <v>40</v>
      </c>
      <c r="J46">
        <f>MatCalc2!$D26/100*CompCalc!B$43</f>
        <v>0.0033082267206882626</v>
      </c>
      <c r="L46">
        <f>MatCalc2!$D26/100*CompCalc!D$43</f>
        <v>0.003189557274824887</v>
      </c>
      <c r="N46">
        <f>MatCalc2!$D26/100*CompCalc!F$43</f>
        <v>0.003125461280402888</v>
      </c>
      <c r="P46" t="str">
        <f>I56</f>
        <v>B</v>
      </c>
      <c r="Q46">
        <f>J56+J65</f>
        <v>0.019264581087996564</v>
      </c>
      <c r="R46">
        <f t="shared" si="8"/>
        <v>0.3356938611082029</v>
      </c>
      <c r="S46">
        <f t="shared" si="9"/>
        <v>0.4045499887103673</v>
      </c>
      <c r="T46">
        <f>L56+L65</f>
        <v>0.018573541036779335</v>
      </c>
      <c r="U46">
        <f t="shared" si="10"/>
        <v>0.3382841280806006</v>
      </c>
      <c r="V46">
        <f t="shared" si="11"/>
        <v>0.4093744450577251</v>
      </c>
      <c r="W46">
        <f>N56+N65</f>
        <v>0.018200295009160806</v>
      </c>
      <c r="X46">
        <f t="shared" si="12"/>
        <v>0.47145981385485264</v>
      </c>
      <c r="Y46">
        <f t="shared" si="13"/>
        <v>0.6219674450666812</v>
      </c>
      <c r="AA46">
        <v>10.81</v>
      </c>
      <c r="AB46">
        <f t="shared" si="14"/>
        <v>0.0017821074086953343</v>
      </c>
      <c r="AC46">
        <f t="shared" si="15"/>
        <v>0.0017181814095078016</v>
      </c>
      <c r="AD46">
        <f t="shared" si="16"/>
        <v>0.0016836535623645519</v>
      </c>
    </row>
    <row r="47" spans="1:37" ht="12.75">
      <c r="A47" t="s">
        <v>47</v>
      </c>
      <c r="B47">
        <v>0.8691056478611049</v>
      </c>
      <c r="C47" s="3">
        <f t="shared" si="7"/>
        <v>15.144550992766048</v>
      </c>
      <c r="D47">
        <v>0.837929947301214</v>
      </c>
      <c r="E47" s="3">
        <f t="shared" si="7"/>
        <v>15.261408745597318</v>
      </c>
      <c r="F47">
        <v>0.8210912613644038</v>
      </c>
      <c r="G47" s="3">
        <f t="shared" si="6"/>
        <v>21.269519699865413</v>
      </c>
      <c r="I47" t="s">
        <v>31</v>
      </c>
      <c r="J47">
        <f>MatCalc2!$D27/100*CompCalc!B$43</f>
        <v>0.008752462644273536</v>
      </c>
      <c r="K47">
        <f>SUM(J45:J47)</f>
        <v>0.05148435356000766</v>
      </c>
      <c r="L47">
        <f>MatCalc2!$D27/100*CompCalc!D$43</f>
        <v>0.0084385029372678</v>
      </c>
      <c r="M47">
        <f>SUM(L45:L47)</f>
        <v>0.049637557610566464</v>
      </c>
      <c r="N47">
        <f>MatCalc2!$D27/100*CompCalc!F$43</f>
        <v>0.008268926350113762</v>
      </c>
      <c r="O47">
        <f>SUM(N45:N47)</f>
        <v>0.04864006224002066</v>
      </c>
      <c r="P47" t="str">
        <f>I58</f>
        <v>Na</v>
      </c>
      <c r="Q47">
        <f>J58+J67</f>
        <v>0.05202395837269465</v>
      </c>
      <c r="R47">
        <f t="shared" si="8"/>
        <v>0.9065405251476706</v>
      </c>
      <c r="S47">
        <f t="shared" si="9"/>
        <v>0.513714271378244</v>
      </c>
      <c r="T47">
        <f>L58+L67</f>
        <v>0.0501578062516506</v>
      </c>
      <c r="U47">
        <f t="shared" si="10"/>
        <v>0.9135355353443961</v>
      </c>
      <c r="V47">
        <f t="shared" si="11"/>
        <v>0.5198405651526667</v>
      </c>
      <c r="W47">
        <f>N58+N67</f>
        <v>0.04914985618437928</v>
      </c>
      <c r="X47">
        <f t="shared" si="12"/>
        <v>1.2731761785189148</v>
      </c>
      <c r="Y47">
        <f t="shared" si="13"/>
        <v>0.7897999302434048</v>
      </c>
      <c r="AA47">
        <v>22.989</v>
      </c>
      <c r="AB47">
        <f t="shared" si="14"/>
        <v>0.0022629935348512176</v>
      </c>
      <c r="AC47">
        <f t="shared" si="15"/>
        <v>0.0021818176628670494</v>
      </c>
      <c r="AD47">
        <f t="shared" si="16"/>
        <v>0.0021379727776057803</v>
      </c>
      <c r="AE47">
        <f>MatCalc2!G28</f>
        <v>7.239446153846154</v>
      </c>
      <c r="AF47">
        <f>K47/$AE$47</f>
        <v>0.00711164258506919</v>
      </c>
      <c r="AG47">
        <f>AF47/AF$77*100</f>
        <v>1.6143891852220882</v>
      </c>
      <c r="AH47">
        <f>M47/$AE$47</f>
        <v>0.006856540756808469</v>
      </c>
      <c r="AI47">
        <f>AH47/AH$77*100</f>
        <v>1.633641565321218</v>
      </c>
      <c r="AJ47">
        <f>O47/$AE$47</f>
        <v>0.006718754612765412</v>
      </c>
      <c r="AK47">
        <f>AJ47/AJ$77*100</f>
        <v>2.4820109872620346</v>
      </c>
    </row>
    <row r="48" spans="1:37" ht="12.75">
      <c r="A48" t="s">
        <v>86</v>
      </c>
      <c r="B48">
        <v>0.0018514711824045586</v>
      </c>
      <c r="C48" s="3">
        <f t="shared" si="7"/>
        <v>0.03226270569357043</v>
      </c>
      <c r="D48">
        <v>0.0017850570343433134</v>
      </c>
      <c r="E48" s="3">
        <f t="shared" si="7"/>
        <v>0.032511649837864184</v>
      </c>
      <c r="F48">
        <v>0.001749185282918972</v>
      </c>
      <c r="G48" s="3">
        <f t="shared" si="6"/>
        <v>0.04531083520720639</v>
      </c>
      <c r="H48" t="s">
        <v>86</v>
      </c>
      <c r="I48" t="s">
        <v>53</v>
      </c>
      <c r="J48">
        <f>B$44</f>
        <v>0.11894979164655022</v>
      </c>
      <c r="K48">
        <f>J48</f>
        <v>0.11894979164655022</v>
      </c>
      <c r="L48">
        <f>D$44</f>
        <v>0.11468294204643471</v>
      </c>
      <c r="M48">
        <f>L48</f>
        <v>0.11468294204643471</v>
      </c>
      <c r="N48">
        <f>F$44</f>
        <v>0.11237832213202661</v>
      </c>
      <c r="O48">
        <f>N48</f>
        <v>0.11237832213202661</v>
      </c>
      <c r="P48" t="str">
        <f>I59</f>
        <v>K</v>
      </c>
      <c r="Q48">
        <f>J59+J68</f>
        <v>0.09539090569636392</v>
      </c>
      <c r="R48">
        <f t="shared" si="8"/>
        <v>1.662228797062882</v>
      </c>
      <c r="S48">
        <f t="shared" si="9"/>
        <v>0.5538481988296694</v>
      </c>
      <c r="T48">
        <f>L59+L68</f>
        <v>0.09196913721580527</v>
      </c>
      <c r="U48">
        <f t="shared" si="10"/>
        <v>1.6750548175905928</v>
      </c>
      <c r="V48">
        <f t="shared" si="11"/>
        <v>0.5604531093052189</v>
      </c>
      <c r="W48">
        <f>N59+N68</f>
        <v>0.09012096431967695</v>
      </c>
      <c r="X48">
        <f t="shared" si="12"/>
        <v>2.334490349809654</v>
      </c>
      <c r="Y48">
        <f t="shared" si="13"/>
        <v>0.8515030497936708</v>
      </c>
      <c r="AA48">
        <v>39.098</v>
      </c>
      <c r="AB48">
        <f t="shared" si="14"/>
        <v>0.0024397899047614692</v>
      </c>
      <c r="AC48">
        <f t="shared" si="15"/>
        <v>0.002352272167778538</v>
      </c>
      <c r="AD48">
        <f t="shared" si="16"/>
        <v>0.0023050019008562317</v>
      </c>
      <c r="AE48">
        <f>AA41</f>
        <v>26.981</v>
      </c>
      <c r="AF48">
        <f>K48/$AE$48</f>
        <v>0.004408650222250851</v>
      </c>
      <c r="AG48">
        <f>AF48/AF$77*100</f>
        <v>1.0007923141654176</v>
      </c>
      <c r="AH48">
        <f>M48/$AE$48</f>
        <v>0.004250507469939391</v>
      </c>
      <c r="AI48">
        <f>AH48/AH$77*100</f>
        <v>1.0127272516693195</v>
      </c>
      <c r="AJ48">
        <f>O48/$AE$48</f>
        <v>0.00416509106897545</v>
      </c>
      <c r="AK48">
        <f>AJ48/AJ$77*100</f>
        <v>1.5386485132977705</v>
      </c>
    </row>
    <row r="49" spans="1:30" ht="12.75">
      <c r="A49" t="s">
        <v>85</v>
      </c>
      <c r="B49">
        <v>0.6195985281553917</v>
      </c>
      <c r="C49" s="3">
        <f t="shared" si="7"/>
        <v>10.796778881583958</v>
      </c>
      <c r="D49">
        <v>0.5882157629628999</v>
      </c>
      <c r="E49" s="3">
        <f t="shared" si="7"/>
        <v>10.713307500338335</v>
      </c>
      <c r="F49">
        <v>0.32044289127379355</v>
      </c>
      <c r="G49" s="3">
        <f t="shared" si="6"/>
        <v>8.300741597595643</v>
      </c>
      <c r="H49" t="s">
        <v>85</v>
      </c>
      <c r="I49" t="s">
        <v>39</v>
      </c>
      <c r="J49">
        <f>MatCalc2!$D25/100*B$45</f>
        <v>0.003911974381904759</v>
      </c>
      <c r="L49">
        <f>MatCalc2!$D25/100*D$45</f>
        <v>0.003771647895443221</v>
      </c>
      <c r="N49">
        <f>MatCalc2!$D25/100*F$45</f>
        <v>0.0036958544540223125</v>
      </c>
      <c r="P49" t="str">
        <f>I60</f>
        <v>Zn</v>
      </c>
      <c r="Q49">
        <f>J60+J69</f>
        <v>0.10231232446161735</v>
      </c>
      <c r="R49">
        <f t="shared" si="8"/>
        <v>1.7828375857534602</v>
      </c>
      <c r="S49">
        <f t="shared" si="9"/>
        <v>0.3551852579451141</v>
      </c>
      <c r="T49">
        <f>L60+L69</f>
        <v>0.09864227767403562</v>
      </c>
      <c r="U49">
        <f t="shared" si="10"/>
        <v>1.7965942427869888</v>
      </c>
      <c r="V49">
        <f t="shared" si="11"/>
        <v>0.359421015750086</v>
      </c>
      <c r="W49">
        <f>N60+N69</f>
        <v>0.0966600041687212</v>
      </c>
      <c r="X49">
        <f t="shared" si="12"/>
        <v>2.5038774124077134</v>
      </c>
      <c r="Y49">
        <f t="shared" si="13"/>
        <v>0.5460726080198539</v>
      </c>
      <c r="AA49">
        <v>65.39</v>
      </c>
      <c r="AB49">
        <f t="shared" si="14"/>
        <v>0.001564647873705725</v>
      </c>
      <c r="AC49">
        <f t="shared" si="15"/>
        <v>0.001508522368466671</v>
      </c>
      <c r="AD49">
        <f t="shared" si="16"/>
        <v>0.0014782077407664964</v>
      </c>
    </row>
    <row r="50" spans="1:30" ht="12.75">
      <c r="A50" t="s">
        <v>61</v>
      </c>
      <c r="B50">
        <f aca="true" t="shared" si="17" ref="B50:G50">SUM(B40:B49)</f>
        <v>5.738734996344508</v>
      </c>
      <c r="C50" s="3">
        <f t="shared" si="17"/>
        <v>99.99999999999999</v>
      </c>
      <c r="D50">
        <f t="shared" si="17"/>
        <v>5.490515071506382</v>
      </c>
      <c r="E50" s="3">
        <f t="shared" si="17"/>
        <v>100</v>
      </c>
      <c r="F50">
        <f t="shared" si="17"/>
        <v>3.8604128017502877</v>
      </c>
      <c r="G50" s="3">
        <f t="shared" si="17"/>
        <v>99.99999999999999</v>
      </c>
      <c r="I50" t="s">
        <v>40</v>
      </c>
      <c r="J50">
        <f>MatCalc2!$D26/100*B$45</f>
        <v>0.00032827233198916045</v>
      </c>
      <c r="L50">
        <f>MatCalc2!$D26/100*D$45</f>
        <v>0.00031649687068663904</v>
      </c>
      <c r="N50">
        <f>MatCalc2!$D26/100*F$45</f>
        <v>0.0003101366833909823</v>
      </c>
      <c r="P50" t="str">
        <f>I61</f>
        <v>Ti</v>
      </c>
      <c r="Q50">
        <f>J61+J70</f>
        <v>0.03387418447480416</v>
      </c>
      <c r="R50">
        <f t="shared" si="8"/>
        <v>0.590272673270007</v>
      </c>
      <c r="S50">
        <f t="shared" si="9"/>
        <v>0.16053570980570125</v>
      </c>
      <c r="T50">
        <f>L61+L70</f>
        <v>0.03265908314104114</v>
      </c>
      <c r="U50">
        <f t="shared" si="10"/>
        <v>0.5948273106566805</v>
      </c>
      <c r="V50">
        <f t="shared" si="11"/>
        <v>0.16245017661020836</v>
      </c>
      <c r="W50">
        <f>N61+N70</f>
        <v>0.032002780014786514</v>
      </c>
      <c r="X50">
        <f t="shared" si="12"/>
        <v>0.8289989091393711</v>
      </c>
      <c r="Y50">
        <f t="shared" si="13"/>
        <v>0.2468124782010639</v>
      </c>
      <c r="AA50">
        <v>47.9</v>
      </c>
      <c r="AB50">
        <f t="shared" si="14"/>
        <v>0.0007071854796410056</v>
      </c>
      <c r="AC50">
        <f t="shared" si="15"/>
        <v>0.0006818180196459529</v>
      </c>
      <c r="AD50">
        <f t="shared" si="16"/>
        <v>0.0006681164930018061</v>
      </c>
    </row>
    <row r="51" spans="9:37" ht="12.75">
      <c r="I51" t="s">
        <v>31</v>
      </c>
      <c r="J51">
        <f>MatCalc2!$D27/100*B$45</f>
        <v>0.0008684989166298531</v>
      </c>
      <c r="K51">
        <f>SUM(J49:J51)</f>
        <v>0.0051087456305237726</v>
      </c>
      <c r="L51">
        <f>MatCalc2!$D27/100*D$45</f>
        <v>0.0008373449801342416</v>
      </c>
      <c r="M51">
        <f>SUM(L49:L51)</f>
        <v>0.004925489746264102</v>
      </c>
      <c r="N51">
        <f>MatCalc2!$D27/100*F$45</f>
        <v>0.0008205180494502898</v>
      </c>
      <c r="O51">
        <f>SUM(N49:N51)</f>
        <v>0.004826509186863584</v>
      </c>
      <c r="P51" t="str">
        <f>I62</f>
        <v>Sb</v>
      </c>
      <c r="Q51">
        <f>J62+J71</f>
        <v>0.002583207120032665</v>
      </c>
      <c r="R51">
        <f t="shared" si="8"/>
        <v>0.04501352862047352</v>
      </c>
      <c r="S51">
        <f t="shared" si="9"/>
        <v>0.004816071294171037</v>
      </c>
      <c r="T51">
        <f>L62+L71</f>
        <v>0.002490544862162737</v>
      </c>
      <c r="U51">
        <f t="shared" si="10"/>
        <v>0.045360860132916965</v>
      </c>
      <c r="V51">
        <f t="shared" si="11"/>
        <v>0.0048735052983062506</v>
      </c>
      <c r="W51">
        <f>N62+N71</f>
        <v>0.0024404959256369976</v>
      </c>
      <c r="X51">
        <f t="shared" si="12"/>
        <v>0.06321852224017317</v>
      </c>
      <c r="Y51">
        <f t="shared" si="13"/>
        <v>0.007404374346031917</v>
      </c>
      <c r="AA51">
        <v>121.76</v>
      </c>
      <c r="AB51">
        <f t="shared" si="14"/>
        <v>2.1215564389230164E-05</v>
      </c>
      <c r="AC51">
        <f t="shared" si="15"/>
        <v>2.0454540589378587E-05</v>
      </c>
      <c r="AD51">
        <f t="shared" si="16"/>
        <v>2.0043494790054185E-05</v>
      </c>
      <c r="AE51">
        <f>AE47</f>
        <v>7.239446153846154</v>
      </c>
      <c r="AF51">
        <f>K51/$AE$51</f>
        <v>0.0007056818328304869</v>
      </c>
      <c r="AG51">
        <f>AF51/AF$77*100</f>
        <v>0.16019437218640192</v>
      </c>
      <c r="AH51">
        <f>M51/$AE$51</f>
        <v>0.0006803683101707028</v>
      </c>
      <c r="AI51">
        <f>AH51/AH$77*100</f>
        <v>0.16210476837296323</v>
      </c>
      <c r="AJ51">
        <f>O51/$AE$51</f>
        <v>0.0006666959162752208</v>
      </c>
      <c r="AK51">
        <f>AJ51/AJ$77*100</f>
        <v>0.2462876953734645</v>
      </c>
    </row>
    <row r="52" spans="8:30" ht="12.75">
      <c r="H52" t="s">
        <v>49</v>
      </c>
      <c r="I52" t="s">
        <v>39</v>
      </c>
      <c r="J52">
        <f>MatCalc2!$E46/100*CompCalc!B$46</f>
        <v>0.05798585885487803</v>
      </c>
      <c r="L52">
        <f>MatCalc2!$E46/100*CompCalc!D$46</f>
        <v>0.05590584732024274</v>
      </c>
      <c r="N52">
        <f>MatCalc2!$E46/100*CompCalc!F$46</f>
        <v>0.05478238704997932</v>
      </c>
      <c r="P52" t="str">
        <f>N14</f>
        <v>Summa</v>
      </c>
      <c r="Q52">
        <f aca="true" t="shared" si="18" ref="Q52:Y52">SUM(Q40:Q51)</f>
        <v>5.738734996344507</v>
      </c>
      <c r="R52">
        <f t="shared" si="18"/>
        <v>99.99999999999999</v>
      </c>
      <c r="S52">
        <f t="shared" si="18"/>
        <v>100.00000000000001</v>
      </c>
      <c r="T52">
        <f t="shared" si="18"/>
        <v>5.490515071506384</v>
      </c>
      <c r="U52">
        <f t="shared" si="18"/>
        <v>99.99999999999997</v>
      </c>
      <c r="V52">
        <f t="shared" si="18"/>
        <v>99.99999999999999</v>
      </c>
      <c r="W52">
        <f t="shared" si="18"/>
        <v>3.8604128017502872</v>
      </c>
      <c r="X52">
        <f t="shared" si="18"/>
        <v>100</v>
      </c>
      <c r="Y52">
        <f t="shared" si="18"/>
        <v>100.00000000000001</v>
      </c>
      <c r="AB52">
        <f>SUM(AB40:AB51)</f>
        <v>0.44051599516202505</v>
      </c>
      <c r="AC52">
        <f>SUM(AC40:AC51)</f>
        <v>0.4197090048611911</v>
      </c>
      <c r="AD52">
        <f>SUM(AD40:AD51)</f>
        <v>0.2706980205666628</v>
      </c>
    </row>
    <row r="53" spans="9:14" ht="12.75">
      <c r="I53" t="s">
        <v>40</v>
      </c>
      <c r="J53">
        <f>MatCalc2!$E47/100*CompCalc!B$46</f>
        <v>0.004865868548816215</v>
      </c>
      <c r="L53">
        <f>MatCalc2!$E47/100*CompCalc!D$46</f>
        <v>0.004691324911670357</v>
      </c>
      <c r="N53">
        <f>MatCalc2!$E47/100*CompCalc!F$46</f>
        <v>0.004597050029778883</v>
      </c>
    </row>
    <row r="54" spans="9:14" ht="12.75">
      <c r="I54" t="s">
        <v>31</v>
      </c>
      <c r="J54">
        <f>MatCalc2!$E48/100*CompCalc!B$46</f>
        <v>0.012873462522725495</v>
      </c>
      <c r="L54">
        <f>MatCalc2!$E48/100*CompCalc!D$46</f>
        <v>0.012411678372817855</v>
      </c>
      <c r="N54">
        <f>MatCalc2!$E48/100*CompCalc!F$46</f>
        <v>0.01216225853200454</v>
      </c>
    </row>
    <row r="55" spans="9:14" ht="12.75">
      <c r="I55" s="3" t="s">
        <v>46</v>
      </c>
      <c r="J55">
        <f>MatCalc2!$E49/100*CompCalc!B$46</f>
        <v>0.07989085073498718</v>
      </c>
      <c r="L55">
        <f>MatCalc2!$E49/100*CompCalc!D$46</f>
        <v>0.07702508493756258</v>
      </c>
      <c r="N55">
        <f>MatCalc2!$E49/100*CompCalc!F$46</f>
        <v>0.07547722139754101</v>
      </c>
    </row>
    <row r="56" spans="9:14" ht="12.75">
      <c r="I56" s="3" t="s">
        <v>52</v>
      </c>
      <c r="J56">
        <f>MatCalc2!$E50/100*CompCalc!B$46</f>
        <v>0.004835432786599246</v>
      </c>
      <c r="L56">
        <f>MatCalc2!$E50/100*CompCalc!D$46</f>
        <v>0.004661980911095397</v>
      </c>
      <c r="N56">
        <f>MatCalc2!$E50/100*CompCalc!F$46</f>
        <v>0.0045682957138325755</v>
      </c>
    </row>
    <row r="57" spans="9:14" ht="12.75">
      <c r="I57" s="3" t="s">
        <v>53</v>
      </c>
      <c r="J57">
        <f>MatCalc2!$E51/100*CompCalc!B$46</f>
        <v>0.006034450139465045</v>
      </c>
      <c r="L57">
        <f>MatCalc2!$E51/100*CompCalc!D$46</f>
        <v>0.005817988296126961</v>
      </c>
      <c r="N57">
        <f>MatCalc2!$E51/100*CompCalc!F$46</f>
        <v>0.00570107246322464</v>
      </c>
    </row>
    <row r="58" spans="9:14" ht="12.75">
      <c r="I58" s="3" t="s">
        <v>54</v>
      </c>
      <c r="J58">
        <f>MatCalc2!$E52/100*CompCalc!B$46</f>
        <v>0.013058075483444795</v>
      </c>
      <c r="L58">
        <f>MatCalc2!$E52/100*CompCalc!D$46</f>
        <v>0.012589669079502765</v>
      </c>
      <c r="N58">
        <f>MatCalc2!$E52/100*CompCalc!F$46</f>
        <v>0.012336672412703947</v>
      </c>
    </row>
    <row r="59" spans="9:14" ht="12.75">
      <c r="I59" s="3" t="s">
        <v>55</v>
      </c>
      <c r="J59">
        <f>MatCalc2!$E53/100*CompCalc!B$46</f>
        <v>0.023943230887849207</v>
      </c>
      <c r="L59">
        <f>MatCalc2!$E53/100*CompCalc!D$46</f>
        <v>0.023084362925786195</v>
      </c>
      <c r="N59">
        <f>MatCalc2!$E53/100*CompCalc!F$46</f>
        <v>0.02262046932870137</v>
      </c>
    </row>
    <row r="60" spans="9:14" ht="12.75">
      <c r="I60" s="3" t="s">
        <v>56</v>
      </c>
      <c r="J60">
        <f>MatCalc2!$E54/100*CompCalc!B$46</f>
        <v>0.025680515237527752</v>
      </c>
      <c r="L60">
        <f>MatCalc2!$E54/100*CompCalc!D$46</f>
        <v>0.02475932912483915</v>
      </c>
      <c r="N60">
        <f>MatCalc2!$E54/100*CompCalc!F$46</f>
        <v>0.024261776115208602</v>
      </c>
    </row>
    <row r="61" spans="9:14" ht="12.75">
      <c r="I61" s="3" t="s">
        <v>94</v>
      </c>
      <c r="J61">
        <f>MatCalc2!$E55/100*CompCalc!B$46</f>
        <v>0.008502460628683902</v>
      </c>
      <c r="L61">
        <f>MatCalc2!$E55/100*CompCalc!D$46</f>
        <v>0.008197468747392534</v>
      </c>
      <c r="N61">
        <f>MatCalc2!$E55/100*CompCalc!F$46</f>
        <v>0.008032735881406853</v>
      </c>
    </row>
    <row r="62" spans="9:14" ht="12.75">
      <c r="I62" s="3" t="s">
        <v>57</v>
      </c>
      <c r="J62">
        <f>MatCalc2!$E56/100*CompCalc!B$46</f>
        <v>0.0006483880623059826</v>
      </c>
      <c r="L62">
        <f>MatCalc2!$E56/100*CompCalc!D$46</f>
        <v>0.0006251297252708864</v>
      </c>
      <c r="N62">
        <f>MatCalc2!$E56/100*CompCalc!F$46</f>
        <v>0.0006125673826221913</v>
      </c>
    </row>
    <row r="63" spans="9:37" ht="12.75">
      <c r="I63" s="3" t="s">
        <v>31</v>
      </c>
      <c r="J63">
        <f>MatCalc2!$E57/100*CompCalc!B$46</f>
        <v>0.12865746247310358</v>
      </c>
      <c r="K63">
        <f>SUM(J52:J63)</f>
        <v>0.36697605636038644</v>
      </c>
      <c r="L63">
        <f>MatCalc2!$E57/100*CompCalc!D$46</f>
        <v>0.1240423888802348</v>
      </c>
      <c r="M63">
        <f>SUM(L52:L63)</f>
        <v>0.3538122532325422</v>
      </c>
      <c r="N63">
        <f>MatCalc2!$E57/100*CompCalc!F$46</f>
        <v>0.12154968547951113</v>
      </c>
      <c r="O63">
        <f>SUM(N52:N63)</f>
        <v>0.34670219178651507</v>
      </c>
      <c r="AE63">
        <f>MatCalc2!G58</f>
        <v>15.436732440492309</v>
      </c>
      <c r="AF63">
        <f>K63/$AE$63</f>
        <v>0.023772910347125434</v>
      </c>
      <c r="AG63">
        <f>AF63/AF$77*100</f>
        <v>5.396605482709335</v>
      </c>
      <c r="AH63">
        <f>M63/$AE$63</f>
        <v>0.022920151955504023</v>
      </c>
      <c r="AI63">
        <f>AH63/AH$77*100</f>
        <v>5.460962640790689</v>
      </c>
      <c r="AJ63">
        <f>O63/$AE$63</f>
        <v>0.022459558272648148</v>
      </c>
      <c r="AK63">
        <f>AJ63/AJ$77*100</f>
        <v>8.296905247268773</v>
      </c>
    </row>
    <row r="64" spans="8:14" ht="12.75">
      <c r="H64" t="s">
        <v>47</v>
      </c>
      <c r="I64" s="3" t="s">
        <v>46</v>
      </c>
      <c r="J64">
        <f>MatCalc2!$E3/100*CompCalc!B$47</f>
        <v>0.23839788164869918</v>
      </c>
      <c r="L64">
        <f>MatCalc2!$E3/100*CompCalc!D$47</f>
        <v>0.22984630798135153</v>
      </c>
      <c r="N64">
        <f>MatCalc2!$E3/100*CompCalc!F$47</f>
        <v>0.22522741375719982</v>
      </c>
    </row>
    <row r="65" spans="9:14" ht="12.75">
      <c r="I65" s="3" t="s">
        <v>52</v>
      </c>
      <c r="J65">
        <f>MatCalc2!$E4/100*CompCalc!B$47</f>
        <v>0.014429148301397316</v>
      </c>
      <c r="L65">
        <f>MatCalc2!$E4/100*CompCalc!D$47</f>
        <v>0.013911560125683939</v>
      </c>
      <c r="N65">
        <f>MatCalc2!$E4/100*CompCalc!F$47</f>
        <v>0.01363199929532823</v>
      </c>
    </row>
    <row r="66" spans="9:14" ht="12.75">
      <c r="I66" s="3" t="s">
        <v>53</v>
      </c>
      <c r="J66">
        <f>MatCalc2!$E5/100*CompCalc!B$47</f>
        <v>0.01800706985753936</v>
      </c>
      <c r="L66">
        <f>MatCalc2!$E5/100*CompCalc!D$47</f>
        <v>0.017361138008838036</v>
      </c>
      <c r="N66">
        <f>MatCalc2!$E5/100*CompCalc!F$47</f>
        <v>0.017012255919854346</v>
      </c>
    </row>
    <row r="67" spans="9:14" ht="12.75">
      <c r="I67" s="3" t="s">
        <v>54</v>
      </c>
      <c r="J67">
        <f>MatCalc2!$E6/100*CompCalc!B$47</f>
        <v>0.038965882889249855</v>
      </c>
      <c r="L67">
        <f>MatCalc2!$E6/100*CompCalc!D$47</f>
        <v>0.03756813717214784</v>
      </c>
      <c r="N67">
        <f>MatCalc2!$E6/100*CompCalc!F$47</f>
        <v>0.036813183771675334</v>
      </c>
    </row>
    <row r="68" spans="9:14" ht="12.75">
      <c r="I68" s="3" t="s">
        <v>55</v>
      </c>
      <c r="J68">
        <f>MatCalc2!$E7/100*CompCalc!B$47</f>
        <v>0.07144767480851472</v>
      </c>
      <c r="L68">
        <f>MatCalc2!$E7/100*CompCalc!D$47</f>
        <v>0.06888477429001907</v>
      </c>
      <c r="N68">
        <f>MatCalc2!$E7/100*CompCalc!F$47</f>
        <v>0.06750049499097557</v>
      </c>
    </row>
    <row r="69" spans="9:14" ht="12.75">
      <c r="I69" s="3" t="s">
        <v>56</v>
      </c>
      <c r="J69">
        <f>MatCalc2!$E8/100*CompCalc!B$47</f>
        <v>0.0766318092240896</v>
      </c>
      <c r="L69">
        <f>MatCalc2!$E8/100*CompCalc!D$47</f>
        <v>0.07388294854919647</v>
      </c>
      <c r="N69">
        <f>MatCalc2!$E8/100*CompCalc!F$47</f>
        <v>0.07239822805351259</v>
      </c>
    </row>
    <row r="70" spans="9:14" ht="12.75">
      <c r="I70" s="3" t="s">
        <v>94</v>
      </c>
      <c r="J70">
        <f>MatCalc2!$E9/100*CompCalc!B$47</f>
        <v>0.02537172384612026</v>
      </c>
      <c r="L70">
        <f>MatCalc2!$E9/100*CompCalc!D$47</f>
        <v>0.02446161439364861</v>
      </c>
      <c r="N70">
        <f>MatCalc2!$E9/100*CompCalc!F$47</f>
        <v>0.02397004413337966</v>
      </c>
    </row>
    <row r="71" spans="9:14" ht="12.75">
      <c r="I71" s="3" t="s">
        <v>57</v>
      </c>
      <c r="J71">
        <f>MatCalc2!$E10/100*CompCalc!B$47</f>
        <v>0.0019348190577266825</v>
      </c>
      <c r="L71">
        <f>MatCalc2!$E10/100*CompCalc!D$47</f>
        <v>0.0018654151368918505</v>
      </c>
      <c r="N71">
        <f>MatCalc2!$E10/100*CompCalc!F$47</f>
        <v>0.0018279285430148064</v>
      </c>
    </row>
    <row r="72" spans="9:37" ht="12.75">
      <c r="I72" s="3" t="s">
        <v>31</v>
      </c>
      <c r="J72">
        <f>MatCalc2!$E11/100*CompCalc!B$47</f>
        <v>0.383919638227768</v>
      </c>
      <c r="K72">
        <f>SUM(J64:J72)</f>
        <v>0.8691056478611049</v>
      </c>
      <c r="L72">
        <f>MatCalc2!$E11/100*CompCalc!D$47</f>
        <v>0.37014805164343667</v>
      </c>
      <c r="M72">
        <f>SUM(L64:L72)</f>
        <v>0.8379299473012141</v>
      </c>
      <c r="N72">
        <f>MatCalc2!$E11/100*CompCalc!F$47</f>
        <v>0.3627097128994635</v>
      </c>
      <c r="O72">
        <f>SUM(N64:N72)</f>
        <v>0.8210912613644039</v>
      </c>
      <c r="AE72">
        <f>MatCalc2!I11</f>
        <v>21.877457379999996</v>
      </c>
      <c r="AF72">
        <f>K72/$AE$72</f>
        <v>0.039726081178685174</v>
      </c>
      <c r="AG72">
        <f>AF72/AF$77*100</f>
        <v>9.018079165110365</v>
      </c>
      <c r="AH72">
        <f>M72/$AE$72</f>
        <v>0.038301066378364224</v>
      </c>
      <c r="AI72">
        <f>AH72/AH$77*100</f>
        <v>9.125624166922842</v>
      </c>
      <c r="AJ72">
        <f>O72/$AE$72</f>
        <v>0.03753138434245251</v>
      </c>
      <c r="AK72">
        <f>AJ72/AJ$77*100</f>
        <v>13.864668926609289</v>
      </c>
    </row>
    <row r="73" spans="8:37" ht="12.75">
      <c r="H73" t="s">
        <v>86</v>
      </c>
      <c r="I73" s="3" t="s">
        <v>53</v>
      </c>
      <c r="J73">
        <f>B$48</f>
        <v>0.0018514711824045586</v>
      </c>
      <c r="K73">
        <f>J73</f>
        <v>0.0018514711824045586</v>
      </c>
      <c r="L73">
        <f>D$48</f>
        <v>0.0017850570343433134</v>
      </c>
      <c r="M73">
        <f>L73</f>
        <v>0.0017850570343433134</v>
      </c>
      <c r="N73">
        <f>F$48</f>
        <v>0.001749185282918972</v>
      </c>
      <c r="O73">
        <f>N73</f>
        <v>0.001749185282918972</v>
      </c>
      <c r="AE73">
        <f>AE48</f>
        <v>26.981</v>
      </c>
      <c r="AF73">
        <f>K73/$AE$73</f>
        <v>6.862129581574288E-05</v>
      </c>
      <c r="AG73">
        <f>AF73/AF$77*100</f>
        <v>0.015577481083406165</v>
      </c>
      <c r="AH73">
        <f>M73/$AE$73</f>
        <v>6.615978037668409E-05</v>
      </c>
      <c r="AI73">
        <f>AH73/AH$77*100</f>
        <v>0.015763250159134632</v>
      </c>
      <c r="AJ73">
        <f>O73/$AE$73</f>
        <v>6.483026140317156E-05</v>
      </c>
      <c r="AK73">
        <f>AJ73/AJ$77*100</f>
        <v>0.023949292746012638</v>
      </c>
    </row>
    <row r="74" spans="8:14" ht="12.75">
      <c r="H74" t="s">
        <v>85</v>
      </c>
      <c r="I74" t="s">
        <v>39</v>
      </c>
      <c r="J74">
        <f>MatCalc2!$D25/100*B$49</f>
        <v>0.4744518017745351</v>
      </c>
      <c r="L74">
        <f>MatCalc2!$D25/100*D$49</f>
        <v>0.4504207416385906</v>
      </c>
      <c r="N74">
        <f>MatCalc2!$D25/100*F$49</f>
        <v>0.24537615927416045</v>
      </c>
    </row>
    <row r="75" spans="9:14" ht="12.75">
      <c r="I75" t="s">
        <v>40</v>
      </c>
      <c r="J75">
        <f>MatCalc2!$D26/100*B$49</f>
        <v>0.039813501873994996</v>
      </c>
      <c r="L75">
        <f>MatCalc2!$D26/100*D$49</f>
        <v>0.0377969415949992</v>
      </c>
      <c r="N75">
        <f>MatCalc2!$D26/100*F$49</f>
        <v>0.020590677789728274</v>
      </c>
    </row>
    <row r="76" spans="9:37" ht="12.75">
      <c r="I76" t="s">
        <v>31</v>
      </c>
      <c r="J76">
        <f>MatCalc2!$D27/100*B$49</f>
        <v>0.10533322450686171</v>
      </c>
      <c r="K76">
        <f>SUM(J74:J76)</f>
        <v>0.6195985281553917</v>
      </c>
      <c r="L76">
        <f>MatCalc2!$D27/100*D$49</f>
        <v>0.09999807972931016</v>
      </c>
      <c r="M76">
        <f>SUM(L74:L76)</f>
        <v>0.5882157629628999</v>
      </c>
      <c r="N76">
        <f>MatCalc2!$D27/100*F$49</f>
        <v>0.054476054209904846</v>
      </c>
      <c r="O76">
        <f>SUM(N74:N76)</f>
        <v>0.3204428912737936</v>
      </c>
      <c r="AE76">
        <f>AE51</f>
        <v>7.239446153846154</v>
      </c>
      <c r="AF76">
        <f>K76/$AE$76</f>
        <v>0.08558645440386528</v>
      </c>
      <c r="AG76">
        <f>AF76/AF$77*100</f>
        <v>19.428682577663483</v>
      </c>
      <c r="AH76">
        <f>M76/$AE$76</f>
        <v>0.08125148671081615</v>
      </c>
      <c r="AI76">
        <f>AH76/AH$77*100</f>
        <v>19.359004874743675</v>
      </c>
      <c r="AJ76">
        <f>O76/$AE$76</f>
        <v>0.04426345392506988</v>
      </c>
      <c r="AK76">
        <f>AJ76/AJ$77*100</f>
        <v>16.351598667922087</v>
      </c>
    </row>
    <row r="77" spans="8:37" ht="12.75">
      <c r="H77" t="s">
        <v>61</v>
      </c>
      <c r="J77">
        <f aca="true" t="shared" si="19" ref="J77:O77">SUM(J40:J76)</f>
        <v>5.738734996344507</v>
      </c>
      <c r="K77">
        <f t="shared" si="19"/>
        <v>5.738734996344508</v>
      </c>
      <c r="L77">
        <f t="shared" si="19"/>
        <v>5.490515071506383</v>
      </c>
      <c r="M77">
        <f t="shared" si="19"/>
        <v>5.490515071506382</v>
      </c>
      <c r="N77">
        <f t="shared" si="19"/>
        <v>3.860412801750288</v>
      </c>
      <c r="O77">
        <f t="shared" si="19"/>
        <v>3.8604128017502877</v>
      </c>
      <c r="AC77">
        <f>(AF77-AB52)/AF77</f>
        <v>1.260139287583426E-16</v>
      </c>
      <c r="AF77">
        <f aca="true" t="shared" si="20" ref="AF77:AK77">SUM(AF40:AF76)</f>
        <v>0.4405159951620251</v>
      </c>
      <c r="AG77">
        <f t="shared" si="20"/>
        <v>100</v>
      </c>
      <c r="AH77">
        <f t="shared" si="20"/>
        <v>0.4197090048611911</v>
      </c>
      <c r="AI77">
        <f t="shared" si="20"/>
        <v>100.00000000000001</v>
      </c>
      <c r="AJ77">
        <f t="shared" si="20"/>
        <v>0.27069802056666276</v>
      </c>
      <c r="AK77">
        <f t="shared" si="20"/>
        <v>100.00000000000001</v>
      </c>
    </row>
    <row r="79" spans="1:16" ht="12.75">
      <c r="A79" s="9" t="s">
        <v>95</v>
      </c>
      <c r="H79" s="9" t="s">
        <v>96</v>
      </c>
      <c r="P79" s="9"/>
    </row>
    <row r="80" spans="2:14" ht="12.75">
      <c r="B80" t="s">
        <v>89</v>
      </c>
      <c r="D80" t="s">
        <v>90</v>
      </c>
      <c r="F80" t="s">
        <v>91</v>
      </c>
      <c r="J80" t="s">
        <v>92</v>
      </c>
      <c r="L80" t="str">
        <f>D80</f>
        <v>Middle long and short</v>
      </c>
      <c r="N80" t="str">
        <f>F80</f>
        <v>Inner</v>
      </c>
    </row>
    <row r="81" spans="1:15" s="3" customFormat="1" ht="12.75">
      <c r="A81" s="3" t="s">
        <v>8</v>
      </c>
      <c r="B81" s="3" t="s">
        <v>80</v>
      </c>
      <c r="C81" s="3" t="s">
        <v>60</v>
      </c>
      <c r="D81" s="3" t="s">
        <v>80</v>
      </c>
      <c r="E81" s="3" t="s">
        <v>60</v>
      </c>
      <c r="F81" s="3" t="s">
        <v>80</v>
      </c>
      <c r="G81" s="3" t="s">
        <v>60</v>
      </c>
      <c r="H81" s="3" t="s">
        <v>8</v>
      </c>
      <c r="I81" s="3" t="s">
        <v>58</v>
      </c>
      <c r="J81" s="3" t="s">
        <v>80</v>
      </c>
      <c r="K81" s="3" t="s">
        <v>82</v>
      </c>
      <c r="L81" s="3" t="str">
        <f>J81</f>
        <v>Weight [g]</v>
      </c>
      <c r="M81" s="3" t="str">
        <f>K81</f>
        <v>Summary</v>
      </c>
      <c r="N81" s="3" t="str">
        <f>J81</f>
        <v>Weight [g]</v>
      </c>
      <c r="O81" s="3" t="str">
        <f>M81</f>
        <v>Summary</v>
      </c>
    </row>
    <row r="82" spans="1:14" s="3" customFormat="1" ht="12.75">
      <c r="A82" s="10" t="s">
        <v>84</v>
      </c>
      <c r="B82" s="12">
        <v>2.0402385202849964</v>
      </c>
      <c r="C82" s="12">
        <v>100</v>
      </c>
      <c r="D82" s="12">
        <v>1.8043106720591187</v>
      </c>
      <c r="E82" s="12">
        <v>100</v>
      </c>
      <c r="F82" s="12">
        <v>0.9106941204277131</v>
      </c>
      <c r="G82" s="12">
        <v>100</v>
      </c>
      <c r="H82" t="s">
        <v>84</v>
      </c>
      <c r="I82" t="s">
        <v>53</v>
      </c>
      <c r="J82" s="3">
        <f>MatCalc2!$D68/100*B$82</f>
        <v>1.3430278301709118</v>
      </c>
      <c r="L82" s="3">
        <f>MatCalc2!$D68/100*D$82</f>
        <v>1.187723603273249</v>
      </c>
      <c r="N82" s="3">
        <f>MatCalc2!$D68/100*F$82</f>
        <v>0.5994826273236857</v>
      </c>
    </row>
    <row r="83" spans="1:15" s="3" customFormat="1" ht="12.75">
      <c r="A83" t="s">
        <v>61</v>
      </c>
      <c r="B83" s="13">
        <f aca="true" t="shared" si="21" ref="B83:G83">SUM(B82)</f>
        <v>2.0402385202849964</v>
      </c>
      <c r="C83" s="13">
        <f t="shared" si="21"/>
        <v>100</v>
      </c>
      <c r="D83" s="13">
        <f t="shared" si="21"/>
        <v>1.8043106720591187</v>
      </c>
      <c r="E83" s="13">
        <f t="shared" si="21"/>
        <v>100</v>
      </c>
      <c r="F83" s="13">
        <f t="shared" si="21"/>
        <v>0.9106941204277131</v>
      </c>
      <c r="G83" s="13">
        <f t="shared" si="21"/>
        <v>100</v>
      </c>
      <c r="H83"/>
      <c r="I83" t="s">
        <v>41</v>
      </c>
      <c r="J83" s="3">
        <f>MatCalc2!$D69/100*B$82</f>
        <v>0.6972106901140844</v>
      </c>
      <c r="K83" s="3">
        <f>SUM(J82:J83)</f>
        <v>2.040238520284996</v>
      </c>
      <c r="L83" s="3">
        <f>MatCalc2!$D69/100*D$82</f>
        <v>0.6165870687858694</v>
      </c>
      <c r="M83" s="3">
        <f>SUM(L82:L83)</f>
        <v>1.8043106720591184</v>
      </c>
      <c r="N83" s="3">
        <f>MatCalc2!$D69/100*F$82</f>
        <v>0.3112114931040273</v>
      </c>
      <c r="O83" s="3">
        <f>SUM(N82:N83)</f>
        <v>0.910694120427713</v>
      </c>
    </row>
    <row r="84" spans="8:15" ht="12.75">
      <c r="H84" t="s">
        <v>61</v>
      </c>
      <c r="J84">
        <f aca="true" t="shared" si="22" ref="J84:O84">SUM(J82:J83)</f>
        <v>2.040238520284996</v>
      </c>
      <c r="K84">
        <f t="shared" si="22"/>
        <v>2.040238520284996</v>
      </c>
      <c r="L84">
        <f t="shared" si="22"/>
        <v>1.8043106720591184</v>
      </c>
      <c r="M84">
        <f t="shared" si="22"/>
        <v>1.8043106720591184</v>
      </c>
      <c r="N84">
        <f t="shared" si="22"/>
        <v>0.910694120427713</v>
      </c>
      <c r="O84">
        <f t="shared" si="22"/>
        <v>0.910694120427713</v>
      </c>
    </row>
    <row r="86" spans="1:16" ht="12.75">
      <c r="A86" s="9" t="s">
        <v>97</v>
      </c>
      <c r="H86" s="9" t="s">
        <v>98</v>
      </c>
      <c r="P86" s="9" t="s">
        <v>99</v>
      </c>
    </row>
    <row r="87" spans="2:17" ht="12.75">
      <c r="B87" t="s">
        <v>89</v>
      </c>
      <c r="C87" t="s">
        <v>101</v>
      </c>
      <c r="D87" t="s">
        <v>102</v>
      </c>
      <c r="F87" t="s">
        <v>91</v>
      </c>
      <c r="J87" t="str">
        <f>D87</f>
        <v>Middle short</v>
      </c>
      <c r="Q87" t="str">
        <f>J87</f>
        <v>Middle short</v>
      </c>
    </row>
    <row r="88" spans="1:23" ht="12.75">
      <c r="A88" s="3" t="s">
        <v>8</v>
      </c>
      <c r="B88" s="3" t="s">
        <v>80</v>
      </c>
      <c r="C88" s="3" t="s">
        <v>80</v>
      </c>
      <c r="D88" s="3" t="s">
        <v>80</v>
      </c>
      <c r="E88" s="3" t="s">
        <v>60</v>
      </c>
      <c r="F88" s="3" t="s">
        <v>80</v>
      </c>
      <c r="G88" s="3"/>
      <c r="H88" s="3" t="s">
        <v>8</v>
      </c>
      <c r="I88" s="3" t="s">
        <v>58</v>
      </c>
      <c r="J88" s="3" t="s">
        <v>80</v>
      </c>
      <c r="K88" s="3" t="s">
        <v>82</v>
      </c>
      <c r="L88" t="s">
        <v>105</v>
      </c>
      <c r="M88" s="3"/>
      <c r="N88" t="s">
        <v>108</v>
      </c>
      <c r="O88" s="3"/>
      <c r="P88" t="s">
        <v>58</v>
      </c>
      <c r="Q88" t="s">
        <v>80</v>
      </c>
      <c r="R88" t="s">
        <v>60</v>
      </c>
      <c r="S88" t="s">
        <v>59</v>
      </c>
      <c r="U88" t="s">
        <v>103</v>
      </c>
      <c r="W88" t="s">
        <v>103</v>
      </c>
    </row>
    <row r="89" spans="1:24" ht="12.75">
      <c r="A89" t="s">
        <v>100</v>
      </c>
      <c r="B89">
        <v>10.5280264833705</v>
      </c>
      <c r="C89">
        <v>10.408174256434497</v>
      </c>
      <c r="D89" s="11">
        <v>5.338</v>
      </c>
      <c r="E89">
        <f>D89/$D$91*100</f>
        <v>49.8897847595212</v>
      </c>
      <c r="F89">
        <v>4.1218930778219995</v>
      </c>
      <c r="H89" t="s">
        <v>100</v>
      </c>
      <c r="I89" s="3" t="s">
        <v>46</v>
      </c>
      <c r="J89" s="11">
        <f>D89</f>
        <v>5.338</v>
      </c>
      <c r="K89" s="11">
        <f>J89</f>
        <v>5.338</v>
      </c>
      <c r="L89">
        <f>N89/$N$99*100</f>
        <v>43.67843283678332</v>
      </c>
      <c r="N89">
        <f>K89/U89</f>
        <v>0.19005910418001853</v>
      </c>
      <c r="P89" s="3" t="s">
        <v>46</v>
      </c>
      <c r="Q89" s="11">
        <f>J89+J90</f>
        <v>6.808696392860401</v>
      </c>
      <c r="R89" s="11">
        <f>Q89/$Q$98*100</f>
        <v>63.63514378657433</v>
      </c>
      <c r="S89">
        <f>X89/$X$98*100</f>
        <v>55.71247435399063</v>
      </c>
      <c r="U89">
        <f>W89</f>
        <v>28.086</v>
      </c>
      <c r="W89">
        <v>28.086</v>
      </c>
      <c r="X89">
        <f>Q89/W89</f>
        <v>0.24242314294881442</v>
      </c>
    </row>
    <row r="90" spans="1:24" ht="12.75">
      <c r="A90" t="s">
        <v>47</v>
      </c>
      <c r="B90">
        <v>0</v>
      </c>
      <c r="C90">
        <v>0</v>
      </c>
      <c r="D90">
        <v>5.3615851469999996</v>
      </c>
      <c r="E90">
        <f>D90/$D$91*100</f>
        <v>50.110215240478794</v>
      </c>
      <c r="F90">
        <v>0</v>
      </c>
      <c r="H90" t="s">
        <v>47</v>
      </c>
      <c r="I90" s="3" t="s">
        <v>46</v>
      </c>
      <c r="J90">
        <f>MatCalc2!$E3/100*$D$90</f>
        <v>1.4706963928604015</v>
      </c>
      <c r="P90" s="3" t="s">
        <v>52</v>
      </c>
      <c r="Q90">
        <f>J91</f>
        <v>0.08901461796621049</v>
      </c>
      <c r="R90" s="11">
        <f aca="true" t="shared" si="23" ref="R90:R97">Q90/$Q$98*100</f>
        <v>0.8319445730208411</v>
      </c>
      <c r="S90">
        <f aca="true" t="shared" si="24" ref="S90:S97">X90/$X$98*100</f>
        <v>1.892404656684081</v>
      </c>
      <c r="W90">
        <v>10.81</v>
      </c>
      <c r="X90">
        <f aca="true" t="shared" si="25" ref="X90:X97">Q90/W90</f>
        <v>0.008234469747105504</v>
      </c>
    </row>
    <row r="91" spans="1:24" ht="12.75">
      <c r="A91" t="s">
        <v>61</v>
      </c>
      <c r="B91">
        <f>SUM(B89:B90)</f>
        <v>10.5280264833705</v>
      </c>
      <c r="C91">
        <f>SUM(C89:C90)</f>
        <v>10.408174256434497</v>
      </c>
      <c r="D91">
        <f>SUM(D89:D90)</f>
        <v>10.699585147</v>
      </c>
      <c r="E91">
        <f>SUM(E89:E90)</f>
        <v>100</v>
      </c>
      <c r="F91">
        <f>SUM(F89:F90)</f>
        <v>4.1218930778219995</v>
      </c>
      <c r="I91" s="3" t="s">
        <v>52</v>
      </c>
      <c r="J91">
        <f>MatCalc2!$E4/100*$D$90</f>
        <v>0.08901461796621049</v>
      </c>
      <c r="P91" s="3" t="s">
        <v>53</v>
      </c>
      <c r="Q91">
        <f aca="true" t="shared" si="26" ref="Q91:Q97">J92</f>
        <v>0.1110871141233268</v>
      </c>
      <c r="R91" s="11">
        <f t="shared" si="23"/>
        <v>1.0382375820848897</v>
      </c>
      <c r="S91">
        <f t="shared" si="24"/>
        <v>0.9462023283420405</v>
      </c>
      <c r="W91">
        <v>26.981</v>
      </c>
      <c r="X91">
        <f t="shared" si="25"/>
        <v>0.004117234873552752</v>
      </c>
    </row>
    <row r="92" spans="9:24" ht="12.75">
      <c r="I92" s="3" t="s">
        <v>53</v>
      </c>
      <c r="J92">
        <f>MatCalc2!$E5/100*$D$90</f>
        <v>0.1110871141233268</v>
      </c>
      <c r="P92" s="3" t="s">
        <v>54</v>
      </c>
      <c r="Q92">
        <f t="shared" si="26"/>
        <v>0.2403837777983599</v>
      </c>
      <c r="R92" s="11">
        <f t="shared" si="23"/>
        <v>2.2466644687225075</v>
      </c>
      <c r="S92">
        <f t="shared" si="24"/>
        <v>2.4030535322972457</v>
      </c>
      <c r="W92">
        <v>22.989</v>
      </c>
      <c r="X92">
        <f t="shared" si="25"/>
        <v>0.010456469520133972</v>
      </c>
    </row>
    <row r="93" spans="9:24" ht="12.75">
      <c r="I93" s="3" t="s">
        <v>54</v>
      </c>
      <c r="J93">
        <f>MatCalc2!$E6/100*$D$90</f>
        <v>0.2403837777983599</v>
      </c>
      <c r="P93" s="3" t="s">
        <v>55</v>
      </c>
      <c r="Q93">
        <f t="shared" si="26"/>
        <v>0.4407666582121198</v>
      </c>
      <c r="R93" s="11">
        <f t="shared" si="23"/>
        <v>4.119474280137898</v>
      </c>
      <c r="S93">
        <f t="shared" si="24"/>
        <v>2.590792089507968</v>
      </c>
      <c r="W93">
        <v>39.098</v>
      </c>
      <c r="X93">
        <f t="shared" si="25"/>
        <v>0.01127338120139444</v>
      </c>
    </row>
    <row r="94" spans="9:24" ht="12.75">
      <c r="I94" s="3" t="s">
        <v>55</v>
      </c>
      <c r="J94">
        <f>MatCalc2!$E7/100*$D$90</f>
        <v>0.4407666582121198</v>
      </c>
      <c r="P94" s="3" t="s">
        <v>56</v>
      </c>
      <c r="Q94">
        <f t="shared" si="26"/>
        <v>0.47274801531295396</v>
      </c>
      <c r="R94" s="11">
        <f t="shared" si="23"/>
        <v>4.418377056847903</v>
      </c>
      <c r="S94">
        <f t="shared" si="24"/>
        <v>1.6614862313148928</v>
      </c>
      <c r="W94">
        <v>65.39</v>
      </c>
      <c r="X94">
        <f t="shared" si="25"/>
        <v>0.00722966837915513</v>
      </c>
    </row>
    <row r="95" spans="9:24" ht="12.75">
      <c r="I95" s="3" t="s">
        <v>56</v>
      </c>
      <c r="J95">
        <f>MatCalc2!$E8/100*$D$90</f>
        <v>0.47274801531295396</v>
      </c>
      <c r="P95" s="3" t="s">
        <v>94</v>
      </c>
      <c r="Q95">
        <f t="shared" si="26"/>
        <v>0.15652027812950536</v>
      </c>
      <c r="R95" s="11">
        <f t="shared" si="23"/>
        <v>1.4628630547735886</v>
      </c>
      <c r="S95">
        <f t="shared" si="24"/>
        <v>0.7509542288428892</v>
      </c>
      <c r="W95">
        <v>47.9</v>
      </c>
      <c r="X95">
        <f t="shared" si="25"/>
        <v>0.003267646725041866</v>
      </c>
    </row>
    <row r="96" spans="9:24" ht="12.75">
      <c r="I96" s="3" t="s">
        <v>94</v>
      </c>
      <c r="J96">
        <f>MatCalc2!$E9/100*$D$90</f>
        <v>0.15652027812950536</v>
      </c>
      <c r="P96" s="3" t="s">
        <v>57</v>
      </c>
      <c r="Q96">
        <f t="shared" si="26"/>
        <v>0.011936059957232927</v>
      </c>
      <c r="R96" s="11">
        <f t="shared" si="23"/>
        <v>0.11155628740035417</v>
      </c>
      <c r="S96">
        <f t="shared" si="24"/>
        <v>0.022528626865286675</v>
      </c>
      <c r="W96">
        <v>121.76</v>
      </c>
      <c r="X96">
        <f t="shared" si="25"/>
        <v>9.802940175125597E-05</v>
      </c>
    </row>
    <row r="97" spans="9:24" ht="12.75">
      <c r="I97" s="3" t="s">
        <v>57</v>
      </c>
      <c r="J97">
        <f>MatCalc2!$E10/100*$D$90</f>
        <v>0.011936059957232927</v>
      </c>
      <c r="P97" s="3" t="s">
        <v>31</v>
      </c>
      <c r="Q97">
        <f t="shared" si="26"/>
        <v>2.3684322326398894</v>
      </c>
      <c r="R97" s="11">
        <f t="shared" si="23"/>
        <v>22.135738910437677</v>
      </c>
      <c r="S97">
        <f t="shared" si="24"/>
        <v>34.02010395215498</v>
      </c>
      <c r="W97">
        <v>15.9994</v>
      </c>
      <c r="X97">
        <f t="shared" si="25"/>
        <v>0.14803256576120913</v>
      </c>
    </row>
    <row r="98" spans="9:24" ht="12.75">
      <c r="I98" s="3" t="s">
        <v>31</v>
      </c>
      <c r="J98">
        <f>MatCalc2!$E11/100*$D$90</f>
        <v>2.3684322326398894</v>
      </c>
      <c r="K98">
        <f>SUM(J90:J98)</f>
        <v>5.3615851469999996</v>
      </c>
      <c r="L98">
        <f>N98/$N$99*100</f>
        <v>56.32156716321668</v>
      </c>
      <c r="N98">
        <f>K98/U98</f>
        <v>0.24507350437813996</v>
      </c>
      <c r="P98" t="str">
        <f>P52</f>
        <v>Summa</v>
      </c>
      <c r="Q98" s="11">
        <f>SUM(Q89:Q97)</f>
        <v>10.699585147</v>
      </c>
      <c r="R98" s="11">
        <f>SUM(R89:R97)</f>
        <v>99.99999999999999</v>
      </c>
      <c r="S98" s="11">
        <f>SUM(S89:S97)</f>
        <v>100</v>
      </c>
      <c r="U98">
        <f>MatCalc2!I11</f>
        <v>21.877457379999996</v>
      </c>
      <c r="X98" s="11">
        <f>SUM(X89:X97)</f>
        <v>0.4351326085581584</v>
      </c>
    </row>
    <row r="99" spans="8:14" ht="12.75">
      <c r="H99" t="s">
        <v>61</v>
      </c>
      <c r="J99" s="11">
        <f>SUM(J89:J98)</f>
        <v>10.699585147</v>
      </c>
      <c r="K99" s="11">
        <f>SUM(K89:K98)</f>
        <v>10.699585147</v>
      </c>
      <c r="L99" s="11">
        <f>SUM(L89:L98)</f>
        <v>100</v>
      </c>
      <c r="N99">
        <f>SUM(N89:N98)</f>
        <v>0.4351326085581585</v>
      </c>
    </row>
    <row r="102" ht="12.75">
      <c r="H102" s="9" t="s">
        <v>109</v>
      </c>
    </row>
    <row r="104" ht="12.75">
      <c r="H104" t="s">
        <v>110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I22" sqref="I22"/>
    </sheetView>
  </sheetViews>
  <sheetFormatPr defaultColWidth="9.140625" defaultRowHeight="12.75"/>
  <cols>
    <col min="1" max="1" width="10.7109375" style="16" bestFit="1" customWidth="1"/>
    <col min="2" max="2" width="9.57421875" style="23" bestFit="1" customWidth="1"/>
    <col min="3" max="3" width="10.421875" style="23" bestFit="1" customWidth="1"/>
    <col min="4" max="4" width="9.57421875" style="23" bestFit="1" customWidth="1"/>
    <col min="5" max="5" width="7.8515625" style="23" bestFit="1" customWidth="1"/>
    <col min="6" max="6" width="6.57421875" style="23" bestFit="1" customWidth="1"/>
    <col min="7" max="7" width="9.57421875" style="23" bestFit="1" customWidth="1"/>
    <col min="8" max="8" width="9.140625" style="23" customWidth="1"/>
    <col min="9" max="9" width="7.8515625" style="23" bestFit="1" customWidth="1"/>
    <col min="10" max="10" width="9.57421875" style="23" bestFit="1" customWidth="1"/>
    <col min="11" max="11" width="7.8515625" style="23" bestFit="1" customWidth="1"/>
    <col min="12" max="12" width="6.57421875" style="23" bestFit="1" customWidth="1"/>
  </cols>
  <sheetData>
    <row r="1" spans="1:13" ht="12.75">
      <c r="A1" s="45" t="str">
        <f>CompCalc!A86</f>
        <v>Detectors - material summary</v>
      </c>
      <c r="B1" s="45"/>
      <c r="C1" s="45"/>
      <c r="D1" s="45"/>
      <c r="E1" s="45"/>
      <c r="F1" s="45"/>
      <c r="G1" s="45"/>
      <c r="H1" s="34"/>
      <c r="I1" s="48" t="str">
        <f>CompCalc!P86</f>
        <v>Detectors - summary of all materials</v>
      </c>
      <c r="J1" s="48"/>
      <c r="K1" s="48"/>
      <c r="L1" s="48"/>
      <c r="M1" s="31"/>
    </row>
    <row r="2" spans="1:13" ht="12.75">
      <c r="A2" s="17"/>
      <c r="B2" s="19" t="str">
        <f>CompCalc!B87</f>
        <v>Outher</v>
      </c>
      <c r="C2" s="19" t="str">
        <f>CompCalc!C87</f>
        <v>Middle long</v>
      </c>
      <c r="D2" s="47" t="str">
        <f>CompCalc!D87</f>
        <v>Middle short</v>
      </c>
      <c r="E2" s="47"/>
      <c r="F2" s="47"/>
      <c r="G2" s="19" t="str">
        <f>CompCalc!F87</f>
        <v>Inner</v>
      </c>
      <c r="H2" s="34"/>
      <c r="I2" s="19"/>
      <c r="J2" s="47" t="str">
        <f>CompCalc!Q87</f>
        <v>Middle short</v>
      </c>
      <c r="K2" s="47"/>
      <c r="L2" s="47"/>
      <c r="M2" s="31"/>
    </row>
    <row r="3" spans="1:13" ht="12.75">
      <c r="A3" s="17" t="str">
        <f>CompCalc!A88</f>
        <v>Material</v>
      </c>
      <c r="B3" s="19" t="str">
        <f>CompCalc!B88</f>
        <v>Weight [g]</v>
      </c>
      <c r="C3" s="19" t="str">
        <f>CompCalc!C88</f>
        <v>Weight [g]</v>
      </c>
      <c r="D3" s="19" t="str">
        <f>CompCalc!D88</f>
        <v>Weight [g]</v>
      </c>
      <c r="E3" s="19" t="s">
        <v>60</v>
      </c>
      <c r="F3" s="19" t="s">
        <v>59</v>
      </c>
      <c r="G3" s="19" t="str">
        <f>CompCalc!F88</f>
        <v>Weight [g]</v>
      </c>
      <c r="H3" s="34"/>
      <c r="I3" s="19" t="str">
        <f>CompCalc!P88</f>
        <v>Element</v>
      </c>
      <c r="J3" s="19" t="str">
        <f>CompCalc!Q88</f>
        <v>Weight [g]</v>
      </c>
      <c r="K3" s="19" t="str">
        <f>CompCalc!R88</f>
        <v>mass %</v>
      </c>
      <c r="L3" s="19" t="str">
        <f>CompCalc!S88</f>
        <v>vol %</v>
      </c>
      <c r="M3" s="31"/>
    </row>
    <row r="4" spans="1:13" ht="12.75">
      <c r="A4" s="17" t="str">
        <f>CompCalc!A89</f>
        <v>Silicon</v>
      </c>
      <c r="B4" s="19">
        <f>CompCalc!B89</f>
        <v>10.5280264833705</v>
      </c>
      <c r="C4" s="19">
        <f>CompCalc!C89</f>
        <v>10.408174256434497</v>
      </c>
      <c r="D4" s="19">
        <f>CompCalc!D89</f>
        <v>5.338</v>
      </c>
      <c r="E4" s="19">
        <f>CompCalc!E89</f>
        <v>49.8897847595212</v>
      </c>
      <c r="F4" s="19">
        <f>CompCalc!L89</f>
        <v>43.67843283678332</v>
      </c>
      <c r="G4" s="19">
        <f>CompCalc!F89</f>
        <v>4.1218930778219995</v>
      </c>
      <c r="H4" s="34"/>
      <c r="I4" s="19" t="str">
        <f>CompCalc!P89</f>
        <v>Si</v>
      </c>
      <c r="J4" s="19">
        <f>CompCalc!Q89</f>
        <v>6.808696392860401</v>
      </c>
      <c r="K4" s="19">
        <f>CompCalc!R89</f>
        <v>63.63514378657433</v>
      </c>
      <c r="L4" s="19">
        <f>CompCalc!S89</f>
        <v>55.71247435399063</v>
      </c>
      <c r="M4" s="31"/>
    </row>
    <row r="5" spans="1:13" ht="12.75">
      <c r="A5" s="17" t="str">
        <f>CompCalc!A90</f>
        <v>Glass D263</v>
      </c>
      <c r="B5" s="19">
        <f>CompCalc!B90</f>
        <v>0</v>
      </c>
      <c r="C5" s="19">
        <f>CompCalc!C90</f>
        <v>0</v>
      </c>
      <c r="D5" s="19">
        <f>CompCalc!D90</f>
        <v>5.3615851469999996</v>
      </c>
      <c r="E5" s="19">
        <f>CompCalc!E90</f>
        <v>50.110215240478794</v>
      </c>
      <c r="F5" s="19">
        <f>CompCalc!L98</f>
        <v>56.32156716321668</v>
      </c>
      <c r="G5" s="19">
        <f>CompCalc!F90</f>
        <v>0</v>
      </c>
      <c r="H5" s="34"/>
      <c r="I5" s="19" t="str">
        <f>CompCalc!P90</f>
        <v>B</v>
      </c>
      <c r="J5" s="19">
        <f>CompCalc!Q90</f>
        <v>0.08901461796621049</v>
      </c>
      <c r="K5" s="19">
        <f>CompCalc!R90</f>
        <v>0.8319445730208411</v>
      </c>
      <c r="L5" s="19">
        <f>CompCalc!S90</f>
        <v>1.892404656684081</v>
      </c>
      <c r="M5" s="31"/>
    </row>
    <row r="6" spans="1:13" ht="12.75">
      <c r="A6" s="17" t="str">
        <f>CompCalc!A91</f>
        <v>Summa</v>
      </c>
      <c r="B6" s="19">
        <f>CompCalc!B91</f>
        <v>10.5280264833705</v>
      </c>
      <c r="C6" s="19">
        <f>CompCalc!C91</f>
        <v>10.408174256434497</v>
      </c>
      <c r="D6" s="19">
        <f>CompCalc!D91</f>
        <v>10.699585147</v>
      </c>
      <c r="E6" s="19">
        <f>SUM(E4:E5)</f>
        <v>100</v>
      </c>
      <c r="F6" s="19">
        <f>SUM(F4:F5)</f>
        <v>100</v>
      </c>
      <c r="G6" s="19">
        <f>CompCalc!F91</f>
        <v>4.1218930778219995</v>
      </c>
      <c r="H6" s="34"/>
      <c r="I6" s="19" t="str">
        <f>CompCalc!P91</f>
        <v>Al</v>
      </c>
      <c r="J6" s="19">
        <f>CompCalc!Q91</f>
        <v>0.1110871141233268</v>
      </c>
      <c r="K6" s="19">
        <f>CompCalc!R91</f>
        <v>1.0382375820848897</v>
      </c>
      <c r="L6" s="19">
        <f>CompCalc!S91</f>
        <v>0.9462023283420405</v>
      </c>
      <c r="M6" s="31"/>
    </row>
    <row r="7" spans="1:13" ht="12.75">
      <c r="A7" s="37"/>
      <c r="B7" s="38"/>
      <c r="C7" s="38"/>
      <c r="D7" s="38"/>
      <c r="E7" s="38"/>
      <c r="F7" s="38"/>
      <c r="G7" s="38"/>
      <c r="I7" s="19" t="str">
        <f>CompCalc!P92</f>
        <v>Na</v>
      </c>
      <c r="J7" s="19">
        <f>CompCalc!Q92</f>
        <v>0.2403837777983599</v>
      </c>
      <c r="K7" s="19">
        <f>CompCalc!R92</f>
        <v>2.2466644687225075</v>
      </c>
      <c r="L7" s="19">
        <f>CompCalc!S92</f>
        <v>2.4030535322972457</v>
      </c>
      <c r="M7" s="31"/>
    </row>
    <row r="8" spans="9:13" ht="12.75">
      <c r="I8" s="19" t="str">
        <f>CompCalc!P93</f>
        <v>K</v>
      </c>
      <c r="J8" s="19">
        <f>CompCalc!Q93</f>
        <v>0.4407666582121198</v>
      </c>
      <c r="K8" s="19">
        <f>CompCalc!R93</f>
        <v>4.119474280137898</v>
      </c>
      <c r="L8" s="19">
        <f>CompCalc!S93</f>
        <v>2.590792089507968</v>
      </c>
      <c r="M8" s="31"/>
    </row>
    <row r="9" spans="9:13" ht="12.75">
      <c r="I9" s="19" t="str">
        <f>CompCalc!P94</f>
        <v>Zn</v>
      </c>
      <c r="J9" s="19">
        <f>CompCalc!Q94</f>
        <v>0.47274801531295396</v>
      </c>
      <c r="K9" s="19">
        <f>CompCalc!R94</f>
        <v>4.418377056847903</v>
      </c>
      <c r="L9" s="19">
        <f>CompCalc!S94</f>
        <v>1.6614862313148928</v>
      </c>
      <c r="M9" s="31"/>
    </row>
    <row r="10" spans="9:13" ht="12.75">
      <c r="I10" s="19" t="str">
        <f>CompCalc!P95</f>
        <v>Ti</v>
      </c>
      <c r="J10" s="19">
        <f>CompCalc!Q95</f>
        <v>0.15652027812950536</v>
      </c>
      <c r="K10" s="19">
        <f>CompCalc!R95</f>
        <v>1.4628630547735886</v>
      </c>
      <c r="L10" s="19">
        <f>CompCalc!S95</f>
        <v>0.7509542288428892</v>
      </c>
      <c r="M10" s="31"/>
    </row>
    <row r="11" spans="9:13" ht="12.75">
      <c r="I11" s="19" t="str">
        <f>CompCalc!P96</f>
        <v>Sb</v>
      </c>
      <c r="J11" s="19">
        <f>CompCalc!Q96</f>
        <v>0.011936059957232927</v>
      </c>
      <c r="K11" s="19">
        <f>CompCalc!R96</f>
        <v>0.11155628740035417</v>
      </c>
      <c r="L11" s="19">
        <f>CompCalc!S96</f>
        <v>0.022528626865286675</v>
      </c>
      <c r="M11" s="31"/>
    </row>
    <row r="12" spans="9:13" ht="12.75">
      <c r="I12" s="19" t="str">
        <f>CompCalc!P97</f>
        <v>O</v>
      </c>
      <c r="J12" s="19">
        <f>CompCalc!Q97</f>
        <v>2.3684322326398894</v>
      </c>
      <c r="K12" s="19">
        <f>CompCalc!R97</f>
        <v>22.135738910437677</v>
      </c>
      <c r="L12" s="19">
        <f>CompCalc!S97</f>
        <v>34.02010395215498</v>
      </c>
      <c r="M12" s="31"/>
    </row>
    <row r="13" spans="9:13" ht="12.75">
      <c r="I13" s="19" t="str">
        <f>CompCalc!P98</f>
        <v>Summa</v>
      </c>
      <c r="J13" s="19">
        <f>CompCalc!Q98</f>
        <v>10.699585147</v>
      </c>
      <c r="K13" s="19">
        <f>SUM(K4:K12)</f>
        <v>99.99999999999999</v>
      </c>
      <c r="L13" s="19">
        <f>SUM(L4:L12)</f>
        <v>100</v>
      </c>
      <c r="M13" s="31"/>
    </row>
    <row r="14" spans="9:12" ht="12.75">
      <c r="I14" s="38"/>
      <c r="J14" s="38"/>
      <c r="K14" s="38"/>
      <c r="L14" s="38"/>
    </row>
  </sheetData>
  <mergeCells count="4">
    <mergeCell ref="A1:G1"/>
    <mergeCell ref="D2:F2"/>
    <mergeCell ref="I1:L1"/>
    <mergeCell ref="J2:L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19" sqref="F19"/>
    </sheetView>
  </sheetViews>
  <sheetFormatPr defaultColWidth="9.140625" defaultRowHeight="12.75"/>
  <cols>
    <col min="1" max="10" width="9.140625" style="36" customWidth="1"/>
  </cols>
  <sheetData>
    <row r="1" spans="1:11" ht="12.75">
      <c r="A1" s="48" t="str">
        <f>CompCalc!A79</f>
        <v>Sub-spines - material summary</v>
      </c>
      <c r="B1" s="48"/>
      <c r="C1" s="48"/>
      <c r="D1" s="48"/>
      <c r="E1" s="40"/>
      <c r="F1" s="48" t="str">
        <f>CompCalc!H79</f>
        <v>Sub-spines - all materials</v>
      </c>
      <c r="G1" s="48"/>
      <c r="H1" s="48"/>
      <c r="I1" s="48"/>
      <c r="J1" s="48"/>
      <c r="K1" s="31"/>
    </row>
    <row r="2" spans="1:11" ht="12.75">
      <c r="A2" s="39"/>
      <c r="B2" s="39" t="str">
        <f>CompCalc!B80</f>
        <v>Outher</v>
      </c>
      <c r="C2" s="39" t="str">
        <f>CompCalc!D80</f>
        <v>Middle long and short</v>
      </c>
      <c r="D2" s="39" t="str">
        <f>CompCalc!F80</f>
        <v>Inner</v>
      </c>
      <c r="E2" s="40"/>
      <c r="F2" s="39"/>
      <c r="G2" s="39"/>
      <c r="H2" s="39" t="str">
        <f>CompCalc!J80</f>
        <v>Outer</v>
      </c>
      <c r="I2" s="39" t="str">
        <f>CompCalc!L80</f>
        <v>Middle long and short</v>
      </c>
      <c r="J2" s="39" t="str">
        <f>CompCalc!N80</f>
        <v>Inner</v>
      </c>
      <c r="K2" s="31"/>
    </row>
    <row r="3" spans="1:11" ht="12.75">
      <c r="A3" s="39" t="str">
        <f>CompCalc!A81</f>
        <v>Material</v>
      </c>
      <c r="B3" s="39" t="str">
        <f>CompCalc!B81</f>
        <v>Weight [g]</v>
      </c>
      <c r="C3" s="39" t="str">
        <f>CompCalc!D81</f>
        <v>Weight [g]</v>
      </c>
      <c r="D3" s="39" t="str">
        <f>CompCalc!F81</f>
        <v>Weight [g]</v>
      </c>
      <c r="E3" s="40"/>
      <c r="F3" s="39" t="str">
        <f>CompCalc!H81</f>
        <v>Material</v>
      </c>
      <c r="G3" s="39" t="str">
        <f>CompCalc!I81</f>
        <v>Element</v>
      </c>
      <c r="H3" s="39" t="str">
        <f>CompCalc!J81</f>
        <v>Weight [g]</v>
      </c>
      <c r="I3" s="39" t="str">
        <f>CompCalc!L81</f>
        <v>Weight [g]</v>
      </c>
      <c r="J3" s="39" t="str">
        <f>CompCalc!N81</f>
        <v>Weight [g]</v>
      </c>
      <c r="K3" s="31"/>
    </row>
    <row r="4" spans="1:11" ht="12.75">
      <c r="A4" s="39" t="str">
        <f>CompCalc!A82</f>
        <v>AlN</v>
      </c>
      <c r="B4" s="39">
        <f>CompCalc!B82</f>
        <v>2.0402385202849964</v>
      </c>
      <c r="C4" s="39">
        <f>CompCalc!D82</f>
        <v>1.8043106720591187</v>
      </c>
      <c r="D4" s="39">
        <f>CompCalc!F82</f>
        <v>0.9106941204277131</v>
      </c>
      <c r="E4" s="40"/>
      <c r="F4" s="39" t="str">
        <f>CompCalc!H82</f>
        <v>AlN</v>
      </c>
      <c r="G4" s="39" t="str">
        <f>CompCalc!I82</f>
        <v>Al</v>
      </c>
      <c r="H4" s="39">
        <f>CompCalc!J82</f>
        <v>1.3430278301709118</v>
      </c>
      <c r="I4" s="39">
        <f>CompCalc!L82</f>
        <v>1.187723603273249</v>
      </c>
      <c r="J4" s="39">
        <f>CompCalc!N82</f>
        <v>0.5994826273236857</v>
      </c>
      <c r="K4" s="31"/>
    </row>
    <row r="5" spans="1:11" ht="12.75">
      <c r="A5" s="41"/>
      <c r="B5" s="41"/>
      <c r="C5" s="41"/>
      <c r="D5" s="41"/>
      <c r="F5" s="39"/>
      <c r="G5" s="39" t="str">
        <f>CompCalc!I83</f>
        <v>N</v>
      </c>
      <c r="H5" s="39">
        <f>CompCalc!J83</f>
        <v>0.6972106901140844</v>
      </c>
      <c r="I5" s="39">
        <f>CompCalc!L83</f>
        <v>0.6165870687858694</v>
      </c>
      <c r="J5" s="39">
        <f>CompCalc!N83</f>
        <v>0.3112114931040273</v>
      </c>
      <c r="K5" s="31"/>
    </row>
    <row r="6" spans="6:11" ht="12.75">
      <c r="F6" s="39" t="str">
        <f>CompCalc!H84</f>
        <v>Summa</v>
      </c>
      <c r="G6" s="39"/>
      <c r="H6" s="39">
        <f>CompCalc!J84</f>
        <v>2.040238520284996</v>
      </c>
      <c r="I6" s="39">
        <f>CompCalc!L84</f>
        <v>1.8043106720591184</v>
      </c>
      <c r="J6" s="39">
        <f>CompCalc!N84</f>
        <v>0.910694120427713</v>
      </c>
      <c r="K6" s="31"/>
    </row>
    <row r="7" spans="6:10" ht="12.75">
      <c r="F7" s="41"/>
      <c r="G7" s="41"/>
      <c r="H7" s="41"/>
      <c r="I7" s="41"/>
      <c r="J7" s="41"/>
    </row>
  </sheetData>
  <mergeCells count="2">
    <mergeCell ref="A1:D1"/>
    <mergeCell ref="F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A1" sqref="A1:E41"/>
    </sheetView>
  </sheetViews>
  <sheetFormatPr defaultColWidth="9.140625" defaultRowHeight="12.75"/>
  <cols>
    <col min="1" max="1" width="10.7109375" style="16" bestFit="1" customWidth="1"/>
    <col min="2" max="2" width="7.8515625" style="16" bestFit="1" customWidth="1"/>
    <col min="3" max="3" width="9.57421875" style="44" bestFit="1" customWidth="1"/>
    <col min="4" max="4" width="10.421875" style="44" customWidth="1"/>
    <col min="5" max="5" width="9.57421875" style="44" bestFit="1" customWidth="1"/>
    <col min="7" max="7" width="7.8515625" style="16" bestFit="1" customWidth="1"/>
    <col min="8" max="8" width="9.57421875" style="23" bestFit="1" customWidth="1"/>
    <col min="9" max="9" width="7.8515625" style="23" bestFit="1" customWidth="1"/>
    <col min="10" max="10" width="6.57421875" style="23" bestFit="1" customWidth="1"/>
    <col min="11" max="11" width="9.57421875" style="23" bestFit="1" customWidth="1"/>
    <col min="12" max="12" width="7.8515625" style="23" bestFit="1" customWidth="1"/>
    <col min="13" max="13" width="6.57421875" style="23" bestFit="1" customWidth="1"/>
    <col min="14" max="14" width="9.57421875" style="23" bestFit="1" customWidth="1"/>
    <col min="15" max="15" width="7.8515625" style="23" bestFit="1" customWidth="1"/>
    <col min="16" max="16" width="6.57421875" style="23" bestFit="1" customWidth="1"/>
    <col min="18" max="18" width="10.7109375" style="16" bestFit="1" customWidth="1"/>
    <col min="19" max="19" width="9.57421875" style="23" bestFit="1" customWidth="1"/>
    <col min="20" max="20" width="7.8515625" style="23" bestFit="1" customWidth="1"/>
    <col min="21" max="21" width="6.57421875" style="23" bestFit="1" customWidth="1"/>
    <col min="22" max="22" width="9.57421875" style="23" bestFit="1" customWidth="1"/>
    <col min="23" max="23" width="7.8515625" style="23" bestFit="1" customWidth="1"/>
    <col min="24" max="24" width="6.57421875" style="23" bestFit="1" customWidth="1"/>
    <col min="25" max="25" width="9.57421875" style="23" bestFit="1" customWidth="1"/>
    <col min="26" max="26" width="7.8515625" style="23" bestFit="1" customWidth="1"/>
    <col min="27" max="27" width="6.57421875" style="23" bestFit="1" customWidth="1"/>
  </cols>
  <sheetData>
    <row r="1" spans="1:27" ht="12.75">
      <c r="A1" s="45" t="str">
        <f>CompCalc!A37</f>
        <v>Spine with other materials - material summary</v>
      </c>
      <c r="B1" s="45"/>
      <c r="C1" s="45"/>
      <c r="D1" s="45"/>
      <c r="E1" s="45"/>
      <c r="G1" s="45" t="str">
        <f>CompCalc!P37</f>
        <v>Spine with other materials - summary of all materials</v>
      </c>
      <c r="H1" s="45"/>
      <c r="I1" s="45"/>
      <c r="J1" s="45"/>
      <c r="K1" s="45"/>
      <c r="L1" s="45"/>
      <c r="M1" s="45"/>
      <c r="N1" s="45"/>
      <c r="O1" s="45"/>
      <c r="P1" s="45"/>
      <c r="R1" s="45" t="str">
        <f>CompCalc!A37</f>
        <v>Spine with other materials - material summary</v>
      </c>
      <c r="S1" s="45"/>
      <c r="T1" s="45"/>
      <c r="U1" s="45"/>
      <c r="V1" s="45"/>
      <c r="W1" s="45"/>
      <c r="X1" s="45"/>
      <c r="Y1" s="45"/>
      <c r="Z1" s="45"/>
      <c r="AA1" s="45"/>
    </row>
    <row r="2" spans="1:27" ht="24.75" customHeight="1">
      <c r="A2" s="17"/>
      <c r="B2" s="17"/>
      <c r="C2" s="42" t="str">
        <f>CompCalc!J38</f>
        <v>Outer</v>
      </c>
      <c r="D2" s="43" t="str">
        <f>CompCalc!L38</f>
        <v>Middle long and short</v>
      </c>
      <c r="E2" s="42" t="str">
        <f>CompCalc!N38</f>
        <v>Inner</v>
      </c>
      <c r="G2" s="17"/>
      <c r="H2" s="47" t="str">
        <f>CompCalc!Q38</f>
        <v>Outer</v>
      </c>
      <c r="I2" s="47"/>
      <c r="J2" s="47"/>
      <c r="K2" s="47" t="str">
        <f>CompCalc!T38</f>
        <v>Middle long and short</v>
      </c>
      <c r="L2" s="47"/>
      <c r="M2" s="47"/>
      <c r="N2" s="47" t="str">
        <f>CompCalc!W38</f>
        <v>Inner</v>
      </c>
      <c r="O2" s="47"/>
      <c r="P2" s="47"/>
      <c r="R2" s="17"/>
      <c r="S2" s="47" t="str">
        <f>CompCalc!B38</f>
        <v>Outher</v>
      </c>
      <c r="T2" s="47"/>
      <c r="U2" s="47"/>
      <c r="V2" s="47" t="str">
        <f>CompCalc!D38</f>
        <v>Middle long and short</v>
      </c>
      <c r="W2" s="47"/>
      <c r="X2" s="47"/>
      <c r="Y2" s="47" t="str">
        <f>CompCalc!F38</f>
        <v>Inner</v>
      </c>
      <c r="Z2" s="47"/>
      <c r="AA2" s="47"/>
    </row>
    <row r="3" spans="1:27" ht="12.75">
      <c r="A3" s="17" t="str">
        <f>CompCalc!H39</f>
        <v>Material</v>
      </c>
      <c r="B3" s="17" t="str">
        <f>CompCalc!I39</f>
        <v>Element</v>
      </c>
      <c r="C3" s="42" t="str">
        <f>CompCalc!J39</f>
        <v>Weight [g]</v>
      </c>
      <c r="D3" s="42" t="str">
        <f>CompCalc!L39</f>
        <v>Weight [g]</v>
      </c>
      <c r="E3" s="42" t="str">
        <f>CompCalc!N39</f>
        <v>Weight [g]</v>
      </c>
      <c r="G3" s="17" t="str">
        <f>CompCalc!P39</f>
        <v>Element</v>
      </c>
      <c r="H3" s="19" t="str">
        <f>CompCalc!Q39</f>
        <v>Weight [g]</v>
      </c>
      <c r="I3" s="19" t="str">
        <f>CompCalc!R39</f>
        <v>mass %</v>
      </c>
      <c r="J3" s="19" t="str">
        <f>CompCalc!S39</f>
        <v>vol %</v>
      </c>
      <c r="K3" s="19" t="str">
        <f>CompCalc!T39</f>
        <v>Weight [g]</v>
      </c>
      <c r="L3" s="19" t="str">
        <f>CompCalc!U39</f>
        <v>mass %</v>
      </c>
      <c r="M3" s="19" t="str">
        <f>CompCalc!V39</f>
        <v>vol %</v>
      </c>
      <c r="N3" s="19" t="str">
        <f>CompCalc!W39</f>
        <v>Weight [g]</v>
      </c>
      <c r="O3" s="19" t="str">
        <f>CompCalc!X39</f>
        <v>mass %</v>
      </c>
      <c r="P3" s="19" t="str">
        <f>CompCalc!Y39</f>
        <v>vol %</v>
      </c>
      <c r="R3" s="17" t="str">
        <f>CompCalc!A39</f>
        <v>Material</v>
      </c>
      <c r="S3" s="19" t="str">
        <f>CompCalc!B39</f>
        <v>Weight [g]</v>
      </c>
      <c r="T3" s="19" t="str">
        <f>CompCalc!C39</f>
        <v>mass %</v>
      </c>
      <c r="U3" s="19" t="str">
        <f>J3</f>
        <v>vol %</v>
      </c>
      <c r="V3" s="19" t="str">
        <f>CompCalc!D39</f>
        <v>Weight [g]</v>
      </c>
      <c r="W3" s="19" t="str">
        <f>CompCalc!E39</f>
        <v>mass %</v>
      </c>
      <c r="X3" s="19" t="str">
        <f>M3</f>
        <v>vol %</v>
      </c>
      <c r="Y3" s="19" t="str">
        <f>CompCalc!F39</f>
        <v>Weight [g]</v>
      </c>
      <c r="Z3" s="19" t="str">
        <f>CompCalc!G39</f>
        <v>mass %</v>
      </c>
      <c r="AA3" s="19" t="str">
        <f>P3</f>
        <v>vol %</v>
      </c>
    </row>
    <row r="4" spans="1:27" ht="12.75">
      <c r="A4" s="17" t="str">
        <f>CompCalc!H40</f>
        <v>Carbon</v>
      </c>
      <c r="B4" s="17" t="str">
        <f>CompCalc!I40</f>
        <v>C</v>
      </c>
      <c r="C4" s="42">
        <f>CompCalc!J40</f>
        <v>2.808821508328343</v>
      </c>
      <c r="D4" s="42">
        <f>CompCalc!L40</f>
        <v>2.6435852993281688</v>
      </c>
      <c r="E4" s="42">
        <f>CompCalc!N40</f>
        <v>1.3266460629862122</v>
      </c>
      <c r="G4" s="17" t="str">
        <f>CompCalc!P40</f>
        <v>C</v>
      </c>
      <c r="H4" s="19">
        <f>CompCalc!Q40</f>
        <v>3.3845948075347065</v>
      </c>
      <c r="I4" s="19">
        <f>CompCalc!R40</f>
        <v>58.97806414986309</v>
      </c>
      <c r="J4" s="19">
        <f>CompCalc!S40</f>
        <v>63.96845102915274</v>
      </c>
      <c r="K4" s="19">
        <f>CompCalc!T40</f>
        <v>3.1916930335809193</v>
      </c>
      <c r="L4" s="19">
        <f>CompCalc!U40</f>
        <v>58.131031278732884</v>
      </c>
      <c r="M4" s="19">
        <f>CompCalc!V40</f>
        <v>63.31311213019243</v>
      </c>
      <c r="N4" s="19">
        <f>CompCalc!W40</f>
        <v>1.6677461383738783</v>
      </c>
      <c r="O4" s="19">
        <f>CompCalc!X40</f>
        <v>43.20123841724212</v>
      </c>
      <c r="P4" s="19">
        <f>CompCalc!Y40</f>
        <v>51.29389715272066</v>
      </c>
      <c r="R4" s="17" t="str">
        <f>CompCalc!A40</f>
        <v>Carbon</v>
      </c>
      <c r="S4" s="19">
        <f>CompCalc!B40</f>
        <v>2.808821508328343</v>
      </c>
      <c r="T4" s="19">
        <f>CompCalc!C40</f>
        <v>48.94495930056924</v>
      </c>
      <c r="U4" s="19">
        <f>CompCalc!AG40</f>
        <v>53.08640216109238</v>
      </c>
      <c r="V4" s="19">
        <f>CompCalc!D40</f>
        <v>2.6435852993281688</v>
      </c>
      <c r="W4" s="19">
        <f>CompCalc!E40</f>
        <v>48.14822042921508</v>
      </c>
      <c r="X4" s="19">
        <f>CompCalc!AI40</f>
        <v>52.4403853130913</v>
      </c>
      <c r="Y4" s="19">
        <f>CompCalc!F40</f>
        <v>1.3266460629862122</v>
      </c>
      <c r="Z4" s="19">
        <f>CompCalc!G40</f>
        <v>34.365393835206405</v>
      </c>
      <c r="AA4" s="19">
        <f>CompCalc!AK40</f>
        <v>40.80288069455643</v>
      </c>
    </row>
    <row r="5" spans="1:27" ht="12.75">
      <c r="A5" s="17" t="str">
        <f>CompCalc!H41</f>
        <v>AlN</v>
      </c>
      <c r="B5" s="17" t="str">
        <f>CompCalc!I41</f>
        <v>Al</v>
      </c>
      <c r="C5" s="42">
        <f>CompCalc!J41</f>
        <v>0.570684782146837</v>
      </c>
      <c r="D5" s="42">
        <f>CompCalc!L41</f>
        <v>0.5694766939040431</v>
      </c>
      <c r="E5" s="42">
        <f>CompCalc!N41</f>
        <v>0.5580327310431048</v>
      </c>
      <c r="G5" s="17" t="str">
        <f>CompCalc!P41</f>
        <v>Al</v>
      </c>
      <c r="H5" s="19">
        <f>CompCalc!Q41</f>
        <v>0.7155275649727962</v>
      </c>
      <c r="I5" s="19">
        <f>CompCalc!R41</f>
        <v>12.468384851863295</v>
      </c>
      <c r="J5" s="19">
        <f>CompCalc!S41</f>
        <v>6.02014074750201</v>
      </c>
      <c r="K5" s="19">
        <f>CompCalc!T41</f>
        <v>0.7091238192897861</v>
      </c>
      <c r="L5" s="19">
        <f>CompCalc!U41</f>
        <v>12.91543343483128</v>
      </c>
      <c r="M5" s="19">
        <f>CompCalc!V41</f>
        <v>6.262038658825304</v>
      </c>
      <c r="N5" s="19">
        <f>CompCalc!W41</f>
        <v>0.6948735668411293</v>
      </c>
      <c r="O5" s="19">
        <f>CompCalc!X41</f>
        <v>17.999980896500965</v>
      </c>
      <c r="P5" s="19">
        <f>CompCalc!Y41</f>
        <v>9.513989533443315</v>
      </c>
      <c r="R5" s="17" t="str">
        <f>CompCalc!A41</f>
        <v>AlN</v>
      </c>
      <c r="S5" s="19">
        <f>CompCalc!B41</f>
        <v>0.8669463501201289</v>
      </c>
      <c r="T5" s="19">
        <f>CompCalc!C41</f>
        <v>15.106924272899189</v>
      </c>
      <c r="U5" s="19">
        <f>CompCalc!AG42</f>
        <v>9.602991915796004</v>
      </c>
      <c r="V5" s="19">
        <f>CompCalc!D41</f>
        <v>0.8651111028426857</v>
      </c>
      <c r="W5" s="19">
        <f>CompCalc!E41</f>
        <v>15.756465314743831</v>
      </c>
      <c r="X5" s="19">
        <f>CompCalc!AI42</f>
        <v>10.057721868935976</v>
      </c>
      <c r="Y5" s="19">
        <f>CompCalc!F41</f>
        <v>0.847726195896546</v>
      </c>
      <c r="Z5" s="19">
        <f>CompCalc!G41</f>
        <v>21.959470124857944</v>
      </c>
      <c r="AA5" s="19">
        <f>CompCalc!AK42</f>
        <v>15.280816009732387</v>
      </c>
    </row>
    <row r="6" spans="1:27" ht="12.75">
      <c r="A6" s="17"/>
      <c r="B6" s="17" t="str">
        <f>CompCalc!I42</f>
        <v>N</v>
      </c>
      <c r="C6" s="42">
        <f>CompCalc!J42</f>
        <v>0.2962615679732918</v>
      </c>
      <c r="D6" s="42">
        <f>CompCalc!L42</f>
        <v>0.29563440893864257</v>
      </c>
      <c r="E6" s="42">
        <f>CompCalc!N42</f>
        <v>0.28969346485344116</v>
      </c>
      <c r="G6" s="17" t="str">
        <f>CompCalc!P42</f>
        <v>N</v>
      </c>
      <c r="H6" s="19">
        <f>CompCalc!Q42</f>
        <v>0.2962615679732918</v>
      </c>
      <c r="I6" s="19">
        <f>CompCalc!R42</f>
        <v>5.162489087961131</v>
      </c>
      <c r="J6" s="19">
        <f>CompCalc!S42</f>
        <v>4.801495957898001</v>
      </c>
      <c r="K6" s="19">
        <f>CompCalc!T42</f>
        <v>0.29563440893864257</v>
      </c>
      <c r="L6" s="19">
        <f>CompCalc!U42</f>
        <v>5.38445674200712</v>
      </c>
      <c r="M6" s="19">
        <f>CompCalc!V42</f>
        <v>5.028860934467987</v>
      </c>
      <c r="N6" s="19">
        <f>CompCalc!W42</f>
        <v>0.28969346485344116</v>
      </c>
      <c r="O6" s="19">
        <f>CompCalc!X42</f>
        <v>7.50420951671531</v>
      </c>
      <c r="P6" s="19">
        <f>CompCalc!Y42</f>
        <v>7.640408004866191</v>
      </c>
      <c r="R6" s="17" t="str">
        <f>CompCalc!A42</f>
        <v>Elastosil</v>
      </c>
      <c r="S6" s="19">
        <f>CompCalc!B42</f>
        <v>0.029892543499666253</v>
      </c>
      <c r="T6" s="19">
        <f>CompCalc!C42</f>
        <v>0.5208908151135638</v>
      </c>
      <c r="U6" s="19">
        <f>CompCalc!AG44</f>
        <v>0.6762853449711189</v>
      </c>
      <c r="V6" s="19">
        <f>CompCalc!D42</f>
        <v>0.030829659401263223</v>
      </c>
      <c r="W6" s="19">
        <f>CompCalc!E42</f>
        <v>0.561507599920034</v>
      </c>
      <c r="X6" s="19">
        <f>CompCalc!AI44</f>
        <v>0.7320642999928896</v>
      </c>
      <c r="Y6" s="19">
        <f>CompCalc!F42</f>
        <v>0.030210119600986716</v>
      </c>
      <c r="Z6" s="19">
        <f>CompCalc!G42</f>
        <v>0.7825618956420834</v>
      </c>
      <c r="AA6" s="19">
        <f>CompCalc!AK44</f>
        <v>1.112233965231763</v>
      </c>
    </row>
    <row r="7" spans="1:27" ht="12.75">
      <c r="A7" s="17" t="str">
        <f>CompCalc!H43</f>
        <v>Elastosil</v>
      </c>
      <c r="B7" s="17" t="str">
        <f>CompCalc!I43</f>
        <v>Si</v>
      </c>
      <c r="C7" s="42">
        <f>CompCalc!J43</f>
        <v>0.0278907565903576</v>
      </c>
      <c r="D7" s="42">
        <f>CompCalc!L43</f>
        <v>0.028765117499414614</v>
      </c>
      <c r="E7" s="42">
        <f>CompCalc!N43</f>
        <v>0.028187065860291176</v>
      </c>
      <c r="G7" s="17" t="str">
        <f>CompCalc!P43</f>
        <v>Si</v>
      </c>
      <c r="H7" s="19">
        <f>CompCalc!Q43</f>
        <v>0.34617948897404394</v>
      </c>
      <c r="I7" s="19">
        <f>CompCalc!R43</f>
        <v>6.032330978770676</v>
      </c>
      <c r="J7" s="19">
        <f>CompCalc!S43</f>
        <v>2.7980131979600684</v>
      </c>
      <c r="K7" s="19">
        <f>CompCalc!T43</f>
        <v>0.3356365104183287</v>
      </c>
      <c r="L7" s="19">
        <f>CompCalc!U43</f>
        <v>6.113024116082484</v>
      </c>
      <c r="M7" s="19">
        <f>CompCalc!V43</f>
        <v>2.8472855135095516</v>
      </c>
      <c r="N7" s="19">
        <f>CompCalc!W43</f>
        <v>0.328891701015032</v>
      </c>
      <c r="O7" s="19">
        <f>CompCalc!X43</f>
        <v>8.519599273578063</v>
      </c>
      <c r="P7" s="19">
        <f>CompCalc!Y43</f>
        <v>4.325914618249303</v>
      </c>
      <c r="R7" s="17" t="str">
        <f>CompCalc!A43</f>
        <v>Araldite</v>
      </c>
      <c r="S7" s="19">
        <f>CompCalc!B43</f>
        <v>0.051484353560007655</v>
      </c>
      <c r="T7" s="19">
        <f>CompCalc!C43</f>
        <v>0.8971376722013205</v>
      </c>
      <c r="U7" s="19">
        <f>CompCalc!AG47</f>
        <v>1.6143891852220882</v>
      </c>
      <c r="V7" s="19">
        <f>CompCalc!D43</f>
        <v>0.04963755761056646</v>
      </c>
      <c r="W7" s="19">
        <f>CompCalc!E43</f>
        <v>0.904060128496248</v>
      </c>
      <c r="X7" s="19">
        <f>CompCalc!AI47</f>
        <v>1.633641565321218</v>
      </c>
      <c r="Y7" s="19">
        <f>CompCalc!F43</f>
        <v>0.048640062240020654</v>
      </c>
      <c r="Z7" s="19">
        <f>CompCalc!G43</f>
        <v>1.2599704937764051</v>
      </c>
      <c r="AA7" s="19">
        <f>CompCalc!AK47</f>
        <v>2.4820109872620346</v>
      </c>
    </row>
    <row r="8" spans="1:27" ht="12.75">
      <c r="A8" s="17"/>
      <c r="B8" s="17" t="str">
        <f>CompCalc!I44</f>
        <v>H</v>
      </c>
      <c r="C8" s="42">
        <f>CompCalc!J44</f>
        <v>0.002001786909308654</v>
      </c>
      <c r="D8" s="42">
        <f>CompCalc!L44</f>
        <v>0.0020645419018486075</v>
      </c>
      <c r="E8" s="42">
        <f>CompCalc!N44</f>
        <v>0.002023053740695541</v>
      </c>
      <c r="G8" s="17" t="str">
        <f>CompCalc!P44</f>
        <v>H</v>
      </c>
      <c r="H8" s="19">
        <f>CompCalc!Q44</f>
        <v>0.05031765638479729</v>
      </c>
      <c r="I8" s="19">
        <f>CompCalc!R44</f>
        <v>0.8768074569891957</v>
      </c>
      <c r="J8" s="19">
        <f>CompCalc!S44</f>
        <v>11.33290576470776</v>
      </c>
      <c r="K8" s="19">
        <f>CompCalc!T44</f>
        <v>0.04805886255402969</v>
      </c>
      <c r="L8" s="19">
        <f>CompCalc!U44</f>
        <v>0.8753069963041591</v>
      </c>
      <c r="M8" s="19">
        <f>CompCalc!V44</f>
        <v>11.360769683763046</v>
      </c>
      <c r="N8" s="19">
        <f>CompCalc!W44</f>
        <v>0.03064637952399657</v>
      </c>
      <c r="O8" s="19">
        <f>CompCalc!X44</f>
        <v>0.7938627576331135</v>
      </c>
      <c r="P8" s="19">
        <f>CompCalc!Y44</f>
        <v>11.232505768318743</v>
      </c>
      <c r="R8" s="17" t="str">
        <f>CompCalc!A44</f>
        <v>Aluminium</v>
      </c>
      <c r="S8" s="19">
        <f>CompCalc!B44</f>
        <v>0.11894979164655022</v>
      </c>
      <c r="T8" s="19">
        <f>CompCalc!C44</f>
        <v>2.0727528230928858</v>
      </c>
      <c r="U8" s="19">
        <f>CompCalc!AG48</f>
        <v>1.0007923141654176</v>
      </c>
      <c r="V8" s="19">
        <f>CompCalc!D44</f>
        <v>0.11468294204643471</v>
      </c>
      <c r="W8" s="19">
        <f>CompCalc!E44</f>
        <v>2.088746511991091</v>
      </c>
      <c r="X8" s="19">
        <f>CompCalc!AI48</f>
        <v>1.0127272516693195</v>
      </c>
      <c r="Y8" s="19">
        <f>CompCalc!F44</f>
        <v>0.11237832213202661</v>
      </c>
      <c r="Z8" s="19">
        <f>CompCalc!G44</f>
        <v>2.911044178515701</v>
      </c>
      <c r="AA8" s="19">
        <f>CompCalc!AK48</f>
        <v>1.5386485132977705</v>
      </c>
    </row>
    <row r="9" spans="1:27" ht="12.75">
      <c r="A9" s="17" t="str">
        <f>CompCalc!H45</f>
        <v>Araldite</v>
      </c>
      <c r="B9" s="17" t="str">
        <f>CompCalc!I45</f>
        <v>C</v>
      </c>
      <c r="C9" s="42">
        <f>CompCalc!J45</f>
        <v>0.03942366419504586</v>
      </c>
      <c r="D9" s="42">
        <f>CompCalc!L45</f>
        <v>0.03800949739847378</v>
      </c>
      <c r="E9" s="42">
        <f>CompCalc!N45</f>
        <v>0.03724567460950401</v>
      </c>
      <c r="G9" s="17" t="str">
        <f>CompCalc!P45</f>
        <v>O</v>
      </c>
      <c r="H9" s="19">
        <f>CompCalc!Q45</f>
        <v>0.6404047492913622</v>
      </c>
      <c r="I9" s="19">
        <f>CompCalc!R45</f>
        <v>11.159336503589918</v>
      </c>
      <c r="J9" s="19">
        <f>CompCalc!S45</f>
        <v>9.086343804816172</v>
      </c>
      <c r="K9" s="19">
        <f>CompCalc!T45</f>
        <v>0.6158760465432015</v>
      </c>
      <c r="L9" s="19">
        <f>CompCalc!U45</f>
        <v>11.217090537449868</v>
      </c>
      <c r="M9" s="19">
        <f>CompCalc!V45</f>
        <v>9.171520262067483</v>
      </c>
      <c r="N9" s="19">
        <f>CompCalc!W45</f>
        <v>0.5599871555204481</v>
      </c>
      <c r="O9" s="19">
        <f>CompCalc!X45</f>
        <v>14.505887952359743</v>
      </c>
      <c r="P9" s="19">
        <f>CompCalc!Y45</f>
        <v>12.929725036731071</v>
      </c>
      <c r="R9" s="17" t="str">
        <f>CompCalc!A45</f>
        <v>Araldite</v>
      </c>
      <c r="S9" s="19">
        <f>CompCalc!B45</f>
        <v>0.005108745630523772</v>
      </c>
      <c r="T9" s="19">
        <f>CompCalc!C45</f>
        <v>0.08902215616817938</v>
      </c>
      <c r="U9" s="19">
        <f>CompCalc!AG51</f>
        <v>0.16019437218640192</v>
      </c>
      <c r="V9" s="19">
        <f>CompCalc!D45</f>
        <v>0.004925489746264101</v>
      </c>
      <c r="W9" s="19">
        <f>CompCalc!E45</f>
        <v>0.08970906521731374</v>
      </c>
      <c r="X9" s="19">
        <f>CompCalc!AI51</f>
        <v>0.16210476837296323</v>
      </c>
      <c r="Y9" s="19">
        <f>CompCalc!F45</f>
        <v>0.004826509186863584</v>
      </c>
      <c r="Z9" s="19">
        <f>CompCalc!G45</f>
        <v>0.12502572742156678</v>
      </c>
      <c r="AA9" s="19">
        <f>CompCalc!AK51</f>
        <v>0.2462876953734645</v>
      </c>
    </row>
    <row r="10" spans="1:27" ht="12.75">
      <c r="A10" s="17"/>
      <c r="B10" s="17" t="str">
        <f>CompCalc!I46</f>
        <v>H</v>
      </c>
      <c r="C10" s="42">
        <f>CompCalc!J46</f>
        <v>0.0033082267206882626</v>
      </c>
      <c r="D10" s="42">
        <f>CompCalc!L46</f>
        <v>0.003189557274824887</v>
      </c>
      <c r="E10" s="42">
        <f>CompCalc!N46</f>
        <v>0.003125461280402888</v>
      </c>
      <c r="G10" s="17" t="str">
        <f>CompCalc!P46</f>
        <v>B</v>
      </c>
      <c r="H10" s="19">
        <f>CompCalc!Q46</f>
        <v>0.019264581087996564</v>
      </c>
      <c r="I10" s="19">
        <f>CompCalc!R46</f>
        <v>0.3356938611082029</v>
      </c>
      <c r="J10" s="19">
        <f>CompCalc!S46</f>
        <v>0.4045499887103673</v>
      </c>
      <c r="K10" s="19">
        <f>CompCalc!T46</f>
        <v>0.018573541036779335</v>
      </c>
      <c r="L10" s="19">
        <f>CompCalc!U46</f>
        <v>0.3382841280806006</v>
      </c>
      <c r="M10" s="19">
        <f>CompCalc!V46</f>
        <v>0.4093744450577251</v>
      </c>
      <c r="N10" s="19">
        <f>CompCalc!W46</f>
        <v>0.018200295009160806</v>
      </c>
      <c r="O10" s="19">
        <f>CompCalc!X46</f>
        <v>0.47145981385485264</v>
      </c>
      <c r="P10" s="19">
        <f>CompCalc!Y46</f>
        <v>0.6219674450666812</v>
      </c>
      <c r="R10" s="17" t="str">
        <f>CompCalc!A46</f>
        <v>FR4</v>
      </c>
      <c r="S10" s="19">
        <f>CompCalc!B46</f>
        <v>0.36697605636038644</v>
      </c>
      <c r="T10" s="19">
        <f>CompCalc!C46</f>
        <v>6.394720379912035</v>
      </c>
      <c r="U10" s="19">
        <f>CompCalc!AG63</f>
        <v>5.396605482709335</v>
      </c>
      <c r="V10" s="19">
        <f>CompCalc!D46</f>
        <v>0.35381225323254223</v>
      </c>
      <c r="W10" s="19">
        <f>CompCalc!E46</f>
        <v>6.444063054642886</v>
      </c>
      <c r="X10" s="19">
        <f>CompCalc!AI63</f>
        <v>5.460962640790689</v>
      </c>
      <c r="Y10" s="19">
        <f>CompCalc!F46</f>
        <v>0.34670219178651507</v>
      </c>
      <c r="Z10" s="19">
        <f>CompCalc!G46</f>
        <v>8.980961611911617</v>
      </c>
      <c r="AA10" s="19">
        <f>CompCalc!AK63</f>
        <v>8.296905247268773</v>
      </c>
    </row>
    <row r="11" spans="1:27" ht="12.75">
      <c r="A11" s="17"/>
      <c r="B11" s="17" t="str">
        <f>CompCalc!I47</f>
        <v>O</v>
      </c>
      <c r="C11" s="42">
        <f>CompCalc!J47</f>
        <v>0.008752462644273536</v>
      </c>
      <c r="D11" s="42">
        <f>CompCalc!L47</f>
        <v>0.0084385029372678</v>
      </c>
      <c r="E11" s="42">
        <f>CompCalc!N47</f>
        <v>0.008268926350113762</v>
      </c>
      <c r="G11" s="17" t="str">
        <f>CompCalc!P47</f>
        <v>Na</v>
      </c>
      <c r="H11" s="19">
        <f>CompCalc!Q47</f>
        <v>0.05202395837269465</v>
      </c>
      <c r="I11" s="19">
        <f>CompCalc!R47</f>
        <v>0.9065405251476706</v>
      </c>
      <c r="J11" s="19">
        <f>CompCalc!S47</f>
        <v>0.513714271378244</v>
      </c>
      <c r="K11" s="19">
        <f>CompCalc!T47</f>
        <v>0.0501578062516506</v>
      </c>
      <c r="L11" s="19">
        <f>CompCalc!U47</f>
        <v>0.9135355353443961</v>
      </c>
      <c r="M11" s="19">
        <f>CompCalc!V47</f>
        <v>0.5198405651526667</v>
      </c>
      <c r="N11" s="19">
        <f>CompCalc!W47</f>
        <v>0.04914985618437928</v>
      </c>
      <c r="O11" s="19">
        <f>CompCalc!X47</f>
        <v>1.2731761785189148</v>
      </c>
      <c r="P11" s="19">
        <f>CompCalc!Y47</f>
        <v>0.7897999302434048</v>
      </c>
      <c r="R11" s="17" t="str">
        <f>CompCalc!A47</f>
        <v>Glass D263</v>
      </c>
      <c r="S11" s="19">
        <f>CompCalc!B47</f>
        <v>0.8691056478611049</v>
      </c>
      <c r="T11" s="19">
        <f>CompCalc!C47</f>
        <v>15.144550992766048</v>
      </c>
      <c r="U11" s="19">
        <f>CompCalc!AG72</f>
        <v>9.018079165110365</v>
      </c>
      <c r="V11" s="19">
        <f>CompCalc!D47</f>
        <v>0.837929947301214</v>
      </c>
      <c r="W11" s="19">
        <f>CompCalc!E47</f>
        <v>15.261408745597318</v>
      </c>
      <c r="X11" s="19">
        <f>CompCalc!AI72</f>
        <v>9.125624166922842</v>
      </c>
      <c r="Y11" s="19">
        <f>CompCalc!F47</f>
        <v>0.8210912613644038</v>
      </c>
      <c r="Z11" s="19">
        <f>CompCalc!G47</f>
        <v>21.269519699865413</v>
      </c>
      <c r="AA11" s="19">
        <f>CompCalc!AK72</f>
        <v>13.864668926609289</v>
      </c>
    </row>
    <row r="12" spans="1:27" ht="12.75">
      <c r="A12" s="17" t="str">
        <f>CompCalc!H48</f>
        <v>Aluminium</v>
      </c>
      <c r="B12" s="17" t="str">
        <f>CompCalc!I48</f>
        <v>Al</v>
      </c>
      <c r="C12" s="42">
        <f>CompCalc!J48</f>
        <v>0.11894979164655022</v>
      </c>
      <c r="D12" s="42">
        <f>CompCalc!L48</f>
        <v>0.11468294204643471</v>
      </c>
      <c r="E12" s="42">
        <f>CompCalc!N48</f>
        <v>0.11237832213202661</v>
      </c>
      <c r="G12" s="17" t="str">
        <f>CompCalc!P48</f>
        <v>K</v>
      </c>
      <c r="H12" s="19">
        <f>CompCalc!Q48</f>
        <v>0.09539090569636392</v>
      </c>
      <c r="I12" s="19">
        <f>CompCalc!R48</f>
        <v>1.662228797062882</v>
      </c>
      <c r="J12" s="19">
        <f>CompCalc!S48</f>
        <v>0.5538481988296694</v>
      </c>
      <c r="K12" s="19">
        <f>CompCalc!T48</f>
        <v>0.09196913721580527</v>
      </c>
      <c r="L12" s="19">
        <f>CompCalc!U48</f>
        <v>1.6750548175905928</v>
      </c>
      <c r="M12" s="19">
        <f>CompCalc!V48</f>
        <v>0.5604531093052189</v>
      </c>
      <c r="N12" s="19">
        <f>CompCalc!W48</f>
        <v>0.09012096431967695</v>
      </c>
      <c r="O12" s="19">
        <f>CompCalc!X48</f>
        <v>2.334490349809654</v>
      </c>
      <c r="P12" s="19">
        <f>CompCalc!Y48</f>
        <v>0.8515030497936708</v>
      </c>
      <c r="R12" s="17" t="str">
        <f>CompCalc!A48</f>
        <v>Aluminium</v>
      </c>
      <c r="S12" s="19">
        <f>CompCalc!B48</f>
        <v>0.0018514711824045586</v>
      </c>
      <c r="T12" s="19">
        <f>CompCalc!C48</f>
        <v>0.03226270569357043</v>
      </c>
      <c r="U12" s="19">
        <f>CompCalc!AG73</f>
        <v>0.015577481083406165</v>
      </c>
      <c r="V12" s="19">
        <f>CompCalc!D48</f>
        <v>0.0017850570343433134</v>
      </c>
      <c r="W12" s="19">
        <f>CompCalc!E48</f>
        <v>0.032511649837864184</v>
      </c>
      <c r="X12" s="19">
        <f>CompCalc!AI73</f>
        <v>0.015763250159134632</v>
      </c>
      <c r="Y12" s="19">
        <f>CompCalc!F48</f>
        <v>0.001749185282918972</v>
      </c>
      <c r="Z12" s="19">
        <f>CompCalc!G48</f>
        <v>0.04531083520720639</v>
      </c>
      <c r="AA12" s="19">
        <f>CompCalc!AK73</f>
        <v>0.023949292746012638</v>
      </c>
    </row>
    <row r="13" spans="1:27" ht="12.75">
      <c r="A13" s="17" t="str">
        <f>CompCalc!H49</f>
        <v>Araldite</v>
      </c>
      <c r="B13" s="17" t="str">
        <f>CompCalc!I49</f>
        <v>C</v>
      </c>
      <c r="C13" s="42">
        <f>CompCalc!J49</f>
        <v>0.003911974381904759</v>
      </c>
      <c r="D13" s="42">
        <f>CompCalc!L49</f>
        <v>0.003771647895443221</v>
      </c>
      <c r="E13" s="42">
        <f>CompCalc!N49</f>
        <v>0.0036958544540223125</v>
      </c>
      <c r="G13" s="17" t="str">
        <f>CompCalc!P49</f>
        <v>Zn</v>
      </c>
      <c r="H13" s="19">
        <f>CompCalc!Q49</f>
        <v>0.10231232446161735</v>
      </c>
      <c r="I13" s="19">
        <f>CompCalc!R49</f>
        <v>1.7828375857534602</v>
      </c>
      <c r="J13" s="19">
        <f>CompCalc!S49</f>
        <v>0.3551852579451141</v>
      </c>
      <c r="K13" s="19">
        <f>CompCalc!T49</f>
        <v>0.09864227767403562</v>
      </c>
      <c r="L13" s="19">
        <f>CompCalc!U49</f>
        <v>1.7965942427869888</v>
      </c>
      <c r="M13" s="19">
        <f>CompCalc!V49</f>
        <v>0.359421015750086</v>
      </c>
      <c r="N13" s="19">
        <f>CompCalc!W49</f>
        <v>0.0966600041687212</v>
      </c>
      <c r="O13" s="19">
        <f>CompCalc!X49</f>
        <v>2.5038774124077134</v>
      </c>
      <c r="P13" s="19">
        <f>CompCalc!Y49</f>
        <v>0.5460726080198539</v>
      </c>
      <c r="R13" s="17" t="str">
        <f>CompCalc!A49</f>
        <v>Araldite</v>
      </c>
      <c r="S13" s="19">
        <f>CompCalc!B49</f>
        <v>0.6195985281553917</v>
      </c>
      <c r="T13" s="19">
        <f>CompCalc!C49</f>
        <v>10.796778881583958</v>
      </c>
      <c r="U13" s="19">
        <f>CompCalc!AG76</f>
        <v>19.428682577663483</v>
      </c>
      <c r="V13" s="19">
        <f>CompCalc!D49</f>
        <v>0.5882157629628999</v>
      </c>
      <c r="W13" s="19">
        <f>CompCalc!E49</f>
        <v>10.713307500338335</v>
      </c>
      <c r="X13" s="19">
        <f>CompCalc!AI76</f>
        <v>19.359004874743675</v>
      </c>
      <c r="Y13" s="19">
        <f>CompCalc!F49</f>
        <v>0.32044289127379355</v>
      </c>
      <c r="Z13" s="19">
        <f>CompCalc!G49</f>
        <v>8.300741597595643</v>
      </c>
      <c r="AA13" s="19">
        <f>CompCalc!AK76</f>
        <v>16.351598667922087</v>
      </c>
    </row>
    <row r="14" spans="1:27" ht="12.75">
      <c r="A14" s="17"/>
      <c r="B14" s="17" t="str">
        <f>CompCalc!I50</f>
        <v>H</v>
      </c>
      <c r="C14" s="42">
        <f>CompCalc!J50</f>
        <v>0.00032827233198916045</v>
      </c>
      <c r="D14" s="42">
        <f>CompCalc!L50</f>
        <v>0.00031649687068663904</v>
      </c>
      <c r="E14" s="42">
        <f>CompCalc!N50</f>
        <v>0.0003101366833909823</v>
      </c>
      <c r="G14" s="17" t="str">
        <f>CompCalc!P50</f>
        <v>Ti</v>
      </c>
      <c r="H14" s="19">
        <f>CompCalc!Q50</f>
        <v>0.03387418447480416</v>
      </c>
      <c r="I14" s="19">
        <f>CompCalc!R50</f>
        <v>0.590272673270007</v>
      </c>
      <c r="J14" s="19">
        <f>CompCalc!S50</f>
        <v>0.16053570980570125</v>
      </c>
      <c r="K14" s="19">
        <f>CompCalc!T50</f>
        <v>0.03265908314104114</v>
      </c>
      <c r="L14" s="19">
        <f>CompCalc!U50</f>
        <v>0.5948273106566805</v>
      </c>
      <c r="M14" s="19">
        <f>CompCalc!V50</f>
        <v>0.16245017661020836</v>
      </c>
      <c r="N14" s="19">
        <f>CompCalc!W50</f>
        <v>0.032002780014786514</v>
      </c>
      <c r="O14" s="19">
        <f>CompCalc!X50</f>
        <v>0.8289989091393711</v>
      </c>
      <c r="P14" s="19">
        <f>CompCalc!Y50</f>
        <v>0.2468124782010639</v>
      </c>
      <c r="R14" s="17" t="str">
        <f>CompCalc!A50</f>
        <v>Summa</v>
      </c>
      <c r="S14" s="19">
        <f>CompCalc!B50</f>
        <v>5.738734996344508</v>
      </c>
      <c r="T14" s="19">
        <f>CompCalc!C50</f>
        <v>99.99999999999999</v>
      </c>
      <c r="U14" s="19">
        <f>SUM(U4:U13)</f>
        <v>100</v>
      </c>
      <c r="V14" s="19">
        <f>CompCalc!D50</f>
        <v>5.490515071506382</v>
      </c>
      <c r="W14" s="19">
        <f>CompCalc!E50</f>
        <v>100</v>
      </c>
      <c r="X14" s="19">
        <f>SUM(X4:X13)</f>
        <v>100.00000000000001</v>
      </c>
      <c r="Y14" s="19">
        <f>CompCalc!F50</f>
        <v>3.8604128017502877</v>
      </c>
      <c r="Z14" s="19">
        <f>CompCalc!G50</f>
        <v>99.99999999999999</v>
      </c>
      <c r="AA14" s="19">
        <f>SUM(AA4:AA13)</f>
        <v>100.00000000000001</v>
      </c>
    </row>
    <row r="15" spans="1:16" ht="12.75">
      <c r="A15" s="17"/>
      <c r="B15" s="17" t="str">
        <f>CompCalc!I51</f>
        <v>O</v>
      </c>
      <c r="C15" s="42">
        <f>CompCalc!J51</f>
        <v>0.0008684989166298531</v>
      </c>
      <c r="D15" s="42">
        <f>CompCalc!L51</f>
        <v>0.0008373449801342416</v>
      </c>
      <c r="E15" s="42">
        <f>CompCalc!N51</f>
        <v>0.0008205180494502898</v>
      </c>
      <c r="G15" s="17" t="str">
        <f>CompCalc!P51</f>
        <v>Sb</v>
      </c>
      <c r="H15" s="19">
        <f>CompCalc!Q51</f>
        <v>0.002583207120032665</v>
      </c>
      <c r="I15" s="19">
        <f>CompCalc!R51</f>
        <v>0.04501352862047352</v>
      </c>
      <c r="J15" s="19">
        <f>CompCalc!S51</f>
        <v>0.004816071294171037</v>
      </c>
      <c r="K15" s="19">
        <f>CompCalc!T51</f>
        <v>0.002490544862162737</v>
      </c>
      <c r="L15" s="19">
        <f>CompCalc!U51</f>
        <v>0.045360860132916965</v>
      </c>
      <c r="M15" s="19">
        <f>CompCalc!V51</f>
        <v>0.0048735052983062506</v>
      </c>
      <c r="N15" s="19">
        <f>CompCalc!W51</f>
        <v>0.0024404959256369976</v>
      </c>
      <c r="O15" s="19">
        <f>CompCalc!X51</f>
        <v>0.06321852224017317</v>
      </c>
      <c r="P15" s="19">
        <f>CompCalc!Y51</f>
        <v>0.007404374346031917</v>
      </c>
    </row>
    <row r="16" spans="1:16" ht="12.75">
      <c r="A16" s="17" t="str">
        <f>CompCalc!H52</f>
        <v>FR4</v>
      </c>
      <c r="B16" s="17" t="str">
        <f>CompCalc!I52</f>
        <v>C</v>
      </c>
      <c r="C16" s="42">
        <f>CompCalc!J52</f>
        <v>0.05798585885487803</v>
      </c>
      <c r="D16" s="42">
        <f>CompCalc!L52</f>
        <v>0.05590584732024274</v>
      </c>
      <c r="E16" s="42">
        <f>CompCalc!N52</f>
        <v>0.05478238704997932</v>
      </c>
      <c r="G16" s="17" t="str">
        <f>CompCalc!P52</f>
        <v>Summa</v>
      </c>
      <c r="H16" s="19">
        <f>CompCalc!Q52</f>
        <v>5.738734996344507</v>
      </c>
      <c r="I16" s="19">
        <f>CompCalc!R52</f>
        <v>99.99999999999999</v>
      </c>
      <c r="J16" s="19">
        <f>CompCalc!S52</f>
        <v>100.00000000000001</v>
      </c>
      <c r="K16" s="19">
        <f>CompCalc!T52</f>
        <v>5.490515071506384</v>
      </c>
      <c r="L16" s="19">
        <f>CompCalc!U52</f>
        <v>99.99999999999997</v>
      </c>
      <c r="M16" s="19">
        <f>CompCalc!V52</f>
        <v>99.99999999999999</v>
      </c>
      <c r="N16" s="19">
        <f>CompCalc!W52</f>
        <v>3.8604128017502872</v>
      </c>
      <c r="O16" s="19">
        <f>CompCalc!X52</f>
        <v>100</v>
      </c>
      <c r="P16" s="19">
        <f>CompCalc!Y52</f>
        <v>100.00000000000001</v>
      </c>
    </row>
    <row r="17" spans="1:5" ht="12.75">
      <c r="A17" s="17"/>
      <c r="B17" s="17" t="str">
        <f>CompCalc!I53</f>
        <v>H</v>
      </c>
      <c r="C17" s="42">
        <f>CompCalc!J53</f>
        <v>0.004865868548816215</v>
      </c>
      <c r="D17" s="42">
        <f>CompCalc!L53</f>
        <v>0.004691324911670357</v>
      </c>
      <c r="E17" s="42">
        <f>CompCalc!N53</f>
        <v>0.004597050029778883</v>
      </c>
    </row>
    <row r="18" spans="1:5" ht="12.75">
      <c r="A18" s="17"/>
      <c r="B18" s="17" t="str">
        <f>CompCalc!I54</f>
        <v>O</v>
      </c>
      <c r="C18" s="42">
        <f>CompCalc!J54</f>
        <v>0.012873462522725495</v>
      </c>
      <c r="D18" s="42">
        <f>CompCalc!L54</f>
        <v>0.012411678372817855</v>
      </c>
      <c r="E18" s="42">
        <f>CompCalc!N54</f>
        <v>0.01216225853200454</v>
      </c>
    </row>
    <row r="19" spans="1:5" ht="12.75">
      <c r="A19" s="17"/>
      <c r="B19" s="17" t="str">
        <f>CompCalc!I55</f>
        <v>Si</v>
      </c>
      <c r="C19" s="42">
        <f>CompCalc!J55</f>
        <v>0.07989085073498718</v>
      </c>
      <c r="D19" s="42">
        <f>CompCalc!L55</f>
        <v>0.07702508493756258</v>
      </c>
      <c r="E19" s="42">
        <f>CompCalc!N55</f>
        <v>0.07547722139754101</v>
      </c>
    </row>
    <row r="20" spans="1:5" ht="12.75">
      <c r="A20" s="17"/>
      <c r="B20" s="17" t="str">
        <f>CompCalc!I56</f>
        <v>B</v>
      </c>
      <c r="C20" s="42">
        <f>CompCalc!J56</f>
        <v>0.004835432786599246</v>
      </c>
      <c r="D20" s="42">
        <f>CompCalc!L56</f>
        <v>0.004661980911095397</v>
      </c>
      <c r="E20" s="42">
        <f>CompCalc!N56</f>
        <v>0.0045682957138325755</v>
      </c>
    </row>
    <row r="21" spans="1:5" ht="12.75">
      <c r="A21" s="17"/>
      <c r="B21" s="17" t="str">
        <f>CompCalc!I57</f>
        <v>Al</v>
      </c>
      <c r="C21" s="42">
        <f>CompCalc!J57</f>
        <v>0.006034450139465045</v>
      </c>
      <c r="D21" s="42">
        <f>CompCalc!L57</f>
        <v>0.005817988296126961</v>
      </c>
      <c r="E21" s="42">
        <f>CompCalc!N57</f>
        <v>0.00570107246322464</v>
      </c>
    </row>
    <row r="22" spans="1:5" ht="12.75">
      <c r="A22" s="17"/>
      <c r="B22" s="17" t="str">
        <f>CompCalc!I58</f>
        <v>Na</v>
      </c>
      <c r="C22" s="42">
        <f>CompCalc!J58</f>
        <v>0.013058075483444795</v>
      </c>
      <c r="D22" s="42">
        <f>CompCalc!L58</f>
        <v>0.012589669079502765</v>
      </c>
      <c r="E22" s="42">
        <f>CompCalc!N58</f>
        <v>0.012336672412703947</v>
      </c>
    </row>
    <row r="23" spans="1:5" ht="12.75">
      <c r="A23" s="17"/>
      <c r="B23" s="17" t="str">
        <f>CompCalc!I59</f>
        <v>K</v>
      </c>
      <c r="C23" s="42">
        <f>CompCalc!J59</f>
        <v>0.023943230887849207</v>
      </c>
      <c r="D23" s="42">
        <f>CompCalc!L59</f>
        <v>0.023084362925786195</v>
      </c>
      <c r="E23" s="42">
        <f>CompCalc!N59</f>
        <v>0.02262046932870137</v>
      </c>
    </row>
    <row r="24" spans="1:5" ht="12.75">
      <c r="A24" s="17"/>
      <c r="B24" s="17" t="str">
        <f>CompCalc!I60</f>
        <v>Zn</v>
      </c>
      <c r="C24" s="42">
        <f>CompCalc!J60</f>
        <v>0.025680515237527752</v>
      </c>
      <c r="D24" s="42">
        <f>CompCalc!L60</f>
        <v>0.02475932912483915</v>
      </c>
      <c r="E24" s="42">
        <f>CompCalc!N60</f>
        <v>0.024261776115208602</v>
      </c>
    </row>
    <row r="25" spans="1:5" ht="12.75">
      <c r="A25" s="17"/>
      <c r="B25" s="17" t="str">
        <f>CompCalc!I61</f>
        <v>Ti</v>
      </c>
      <c r="C25" s="42">
        <f>CompCalc!J61</f>
        <v>0.008502460628683902</v>
      </c>
      <c r="D25" s="42">
        <f>CompCalc!L61</f>
        <v>0.008197468747392534</v>
      </c>
      <c r="E25" s="42">
        <f>CompCalc!N61</f>
        <v>0.008032735881406853</v>
      </c>
    </row>
    <row r="26" spans="1:5" ht="12.75">
      <c r="A26" s="17"/>
      <c r="B26" s="17" t="str">
        <f>CompCalc!I62</f>
        <v>Sb</v>
      </c>
      <c r="C26" s="42">
        <f>CompCalc!J62</f>
        <v>0.0006483880623059826</v>
      </c>
      <c r="D26" s="42">
        <f>CompCalc!L62</f>
        <v>0.0006251297252708864</v>
      </c>
      <c r="E26" s="42">
        <f>CompCalc!N62</f>
        <v>0.0006125673826221913</v>
      </c>
    </row>
    <row r="27" spans="1:5" ht="12.75">
      <c r="A27" s="17"/>
      <c r="B27" s="17" t="str">
        <f>CompCalc!I63</f>
        <v>O</v>
      </c>
      <c r="C27" s="42">
        <f>CompCalc!J63</f>
        <v>0.12865746247310358</v>
      </c>
      <c r="D27" s="42">
        <f>CompCalc!L63</f>
        <v>0.1240423888802348</v>
      </c>
      <c r="E27" s="42">
        <f>CompCalc!N63</f>
        <v>0.12154968547951113</v>
      </c>
    </row>
    <row r="28" spans="1:5" ht="12.75">
      <c r="A28" s="17" t="str">
        <f>CompCalc!H64</f>
        <v>Glass D263</v>
      </c>
      <c r="B28" s="17" t="str">
        <f>CompCalc!I64</f>
        <v>Si</v>
      </c>
      <c r="C28" s="42">
        <f>CompCalc!J64</f>
        <v>0.23839788164869918</v>
      </c>
      <c r="D28" s="42">
        <f>CompCalc!L64</f>
        <v>0.22984630798135153</v>
      </c>
      <c r="E28" s="42">
        <f>CompCalc!N64</f>
        <v>0.22522741375719982</v>
      </c>
    </row>
    <row r="29" spans="1:5" ht="12.75">
      <c r="A29" s="17"/>
      <c r="B29" s="17" t="str">
        <f>CompCalc!I65</f>
        <v>B</v>
      </c>
      <c r="C29" s="42">
        <f>CompCalc!J65</f>
        <v>0.014429148301397316</v>
      </c>
      <c r="D29" s="42">
        <f>CompCalc!L65</f>
        <v>0.013911560125683939</v>
      </c>
      <c r="E29" s="42">
        <f>CompCalc!N65</f>
        <v>0.01363199929532823</v>
      </c>
    </row>
    <row r="30" spans="1:5" ht="12.75">
      <c r="A30" s="17"/>
      <c r="B30" s="17" t="str">
        <f>CompCalc!I66</f>
        <v>Al</v>
      </c>
      <c r="C30" s="42">
        <f>CompCalc!J66</f>
        <v>0.01800706985753936</v>
      </c>
      <c r="D30" s="42">
        <f>CompCalc!L66</f>
        <v>0.017361138008838036</v>
      </c>
      <c r="E30" s="42">
        <f>CompCalc!N66</f>
        <v>0.017012255919854346</v>
      </c>
    </row>
    <row r="31" spans="1:5" ht="12.75">
      <c r="A31" s="17"/>
      <c r="B31" s="17" t="str">
        <f>CompCalc!I67</f>
        <v>Na</v>
      </c>
      <c r="C31" s="42">
        <f>CompCalc!J67</f>
        <v>0.038965882889249855</v>
      </c>
      <c r="D31" s="42">
        <f>CompCalc!L67</f>
        <v>0.03756813717214784</v>
      </c>
      <c r="E31" s="42">
        <f>CompCalc!N67</f>
        <v>0.036813183771675334</v>
      </c>
    </row>
    <row r="32" spans="1:5" ht="12.75">
      <c r="A32" s="17"/>
      <c r="B32" s="17" t="str">
        <f>CompCalc!I68</f>
        <v>K</v>
      </c>
      <c r="C32" s="42">
        <f>CompCalc!J68</f>
        <v>0.07144767480851472</v>
      </c>
      <c r="D32" s="42">
        <f>CompCalc!L68</f>
        <v>0.06888477429001907</v>
      </c>
      <c r="E32" s="42">
        <f>CompCalc!N68</f>
        <v>0.06750049499097557</v>
      </c>
    </row>
    <row r="33" spans="1:5" ht="12.75">
      <c r="A33" s="17"/>
      <c r="B33" s="17" t="str">
        <f>CompCalc!I69</f>
        <v>Zn</v>
      </c>
      <c r="C33" s="42">
        <f>CompCalc!J69</f>
        <v>0.0766318092240896</v>
      </c>
      <c r="D33" s="42">
        <f>CompCalc!L69</f>
        <v>0.07388294854919647</v>
      </c>
      <c r="E33" s="42">
        <f>CompCalc!N69</f>
        <v>0.07239822805351259</v>
      </c>
    </row>
    <row r="34" spans="1:5" ht="12.75">
      <c r="A34" s="17"/>
      <c r="B34" s="17" t="str">
        <f>CompCalc!I70</f>
        <v>Ti</v>
      </c>
      <c r="C34" s="42">
        <f>CompCalc!J70</f>
        <v>0.02537172384612026</v>
      </c>
      <c r="D34" s="42">
        <f>CompCalc!L70</f>
        <v>0.02446161439364861</v>
      </c>
      <c r="E34" s="42">
        <f>CompCalc!N70</f>
        <v>0.02397004413337966</v>
      </c>
    </row>
    <row r="35" spans="1:5" ht="12.75">
      <c r="A35" s="17"/>
      <c r="B35" s="17" t="str">
        <f>CompCalc!I71</f>
        <v>Sb</v>
      </c>
      <c r="C35" s="42">
        <f>CompCalc!J71</f>
        <v>0.0019348190577266825</v>
      </c>
      <c r="D35" s="42">
        <f>CompCalc!L71</f>
        <v>0.0018654151368918505</v>
      </c>
      <c r="E35" s="42">
        <f>CompCalc!N71</f>
        <v>0.0018279285430148064</v>
      </c>
    </row>
    <row r="36" spans="1:5" ht="12.75">
      <c r="A36" s="17"/>
      <c r="B36" s="17" t="str">
        <f>CompCalc!I72</f>
        <v>O</v>
      </c>
      <c r="C36" s="42">
        <f>CompCalc!J72</f>
        <v>0.383919638227768</v>
      </c>
      <c r="D36" s="42">
        <f>CompCalc!L72</f>
        <v>0.37014805164343667</v>
      </c>
      <c r="E36" s="42">
        <f>CompCalc!N72</f>
        <v>0.3627097128994635</v>
      </c>
    </row>
    <row r="37" spans="1:5" ht="12.75">
      <c r="A37" s="17" t="str">
        <f>CompCalc!H73</f>
        <v>Aluminium</v>
      </c>
      <c r="B37" s="17" t="str">
        <f>CompCalc!I73</f>
        <v>Al</v>
      </c>
      <c r="C37" s="42">
        <f>CompCalc!J73</f>
        <v>0.0018514711824045586</v>
      </c>
      <c r="D37" s="42">
        <f>CompCalc!L73</f>
        <v>0.0017850570343433134</v>
      </c>
      <c r="E37" s="42">
        <f>CompCalc!N73</f>
        <v>0.001749185282918972</v>
      </c>
    </row>
    <row r="38" spans="1:5" ht="12.75">
      <c r="A38" s="17" t="str">
        <f>CompCalc!H74</f>
        <v>Araldite</v>
      </c>
      <c r="B38" s="17" t="str">
        <f>CompCalc!I74</f>
        <v>C</v>
      </c>
      <c r="C38" s="42">
        <f>CompCalc!J74</f>
        <v>0.4744518017745351</v>
      </c>
      <c r="D38" s="42">
        <f>CompCalc!L74</f>
        <v>0.4504207416385906</v>
      </c>
      <c r="E38" s="42">
        <f>CompCalc!N74</f>
        <v>0.24537615927416045</v>
      </c>
    </row>
    <row r="39" spans="1:5" ht="12.75">
      <c r="A39" s="17"/>
      <c r="B39" s="17" t="str">
        <f>CompCalc!I75</f>
        <v>H</v>
      </c>
      <c r="C39" s="42">
        <f>CompCalc!J75</f>
        <v>0.039813501873994996</v>
      </c>
      <c r="D39" s="42">
        <f>CompCalc!L75</f>
        <v>0.0377969415949992</v>
      </c>
      <c r="E39" s="42">
        <f>CompCalc!N75</f>
        <v>0.020590677789728274</v>
      </c>
    </row>
    <row r="40" spans="1:5" ht="12.75">
      <c r="A40" s="17"/>
      <c r="B40" s="17" t="str">
        <f>CompCalc!I76</f>
        <v>O</v>
      </c>
      <c r="C40" s="42">
        <f>CompCalc!J76</f>
        <v>0.10533322450686171</v>
      </c>
      <c r="D40" s="42">
        <f>CompCalc!L76</f>
        <v>0.09999807972931016</v>
      </c>
      <c r="E40" s="42">
        <f>CompCalc!N76</f>
        <v>0.054476054209904846</v>
      </c>
    </row>
    <row r="41" spans="1:5" ht="12.75">
      <c r="A41" s="17" t="str">
        <f>CompCalc!H77</f>
        <v>Summa</v>
      </c>
      <c r="B41" s="17">
        <f>CompCalc!I77</f>
        <v>0</v>
      </c>
      <c r="C41" s="42">
        <f>CompCalc!J77</f>
        <v>5.738734996344507</v>
      </c>
      <c r="D41" s="42">
        <f>CompCalc!L77</f>
        <v>5.490515071506383</v>
      </c>
      <c r="E41" s="42">
        <f>CompCalc!N77</f>
        <v>3.860412801750288</v>
      </c>
    </row>
  </sheetData>
  <mergeCells count="9">
    <mergeCell ref="A1:E1"/>
    <mergeCell ref="G1:P1"/>
    <mergeCell ref="K2:M2"/>
    <mergeCell ref="N2:P2"/>
    <mergeCell ref="H2:J2"/>
    <mergeCell ref="R1:AA1"/>
    <mergeCell ref="S2:U2"/>
    <mergeCell ref="V2:X2"/>
    <mergeCell ref="Y2:AA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C33"/>
    </sheetView>
  </sheetViews>
  <sheetFormatPr defaultColWidth="9.140625" defaultRowHeight="12.75"/>
  <cols>
    <col min="1" max="1" width="10.140625" style="16" bestFit="1" customWidth="1"/>
    <col min="2" max="2" width="7.8515625" style="16" bestFit="1" customWidth="1"/>
    <col min="3" max="3" width="9.57421875" style="49" bestFit="1" customWidth="1"/>
    <col min="4" max="4" width="9.140625" style="16" customWidth="1"/>
    <col min="5" max="5" width="9.00390625" style="16" bestFit="1" customWidth="1"/>
    <col min="6" max="6" width="9.57421875" style="23" bestFit="1" customWidth="1"/>
    <col min="7" max="7" width="7.8515625" style="23" bestFit="1" customWidth="1"/>
    <col min="8" max="8" width="6.57421875" style="23" bestFit="1" customWidth="1"/>
    <col min="9" max="9" width="9.140625" style="16" customWidth="1"/>
    <col min="10" max="10" width="10.140625" style="16" bestFit="1" customWidth="1"/>
    <col min="11" max="11" width="9.57421875" style="23" bestFit="1" customWidth="1"/>
    <col min="12" max="12" width="7.8515625" style="23" bestFit="1" customWidth="1"/>
    <col min="13" max="13" width="6.57421875" style="23" bestFit="1" customWidth="1"/>
  </cols>
  <sheetData>
    <row r="1" spans="1:13" ht="12.75">
      <c r="A1" s="45" t="str">
        <f>CompCalc!H1</f>
        <v>Hybrid - all materials</v>
      </c>
      <c r="B1" s="45"/>
      <c r="C1" s="45"/>
      <c r="E1" s="45" t="str">
        <f>A1</f>
        <v>Hybrid - all materials</v>
      </c>
      <c r="F1" s="45"/>
      <c r="G1" s="45"/>
      <c r="H1" s="45"/>
      <c r="J1" s="45" t="str">
        <f>E1</f>
        <v>Hybrid - all materials</v>
      </c>
      <c r="K1" s="45"/>
      <c r="L1" s="45"/>
      <c r="M1" s="45"/>
    </row>
    <row r="2" spans="1:13" ht="12.75">
      <c r="A2" s="17" t="str">
        <f>CompCalc!H3</f>
        <v>Material</v>
      </c>
      <c r="B2" s="17" t="str">
        <f>CompCalc!I3</f>
        <v>Element</v>
      </c>
      <c r="C2" s="50" t="str">
        <f>CompCalc!J3</f>
        <v>Weight [g]</v>
      </c>
      <c r="E2" s="17" t="str">
        <f>CompCalc!K3</f>
        <v>Summary</v>
      </c>
      <c r="F2" s="19" t="str">
        <f>CompCalc!O3</f>
        <v>Weight [g]</v>
      </c>
      <c r="G2" s="19" t="str">
        <f>CompCalc!P3</f>
        <v>mass %</v>
      </c>
      <c r="H2" s="19" t="str">
        <f>CompCalc!Q3</f>
        <v>vol %</v>
      </c>
      <c r="J2" s="17" t="str">
        <f>CompCalc!H3</f>
        <v>Material</v>
      </c>
      <c r="K2" s="19" t="str">
        <f>CompCalc!M3</f>
        <v>Weight [g]</v>
      </c>
      <c r="L2" s="19" t="str">
        <f>CompCalc!C3</f>
        <v>mass %</v>
      </c>
      <c r="M2" s="19" t="str">
        <f>H2</f>
        <v>vol %</v>
      </c>
    </row>
    <row r="3" spans="1:13" ht="12.75">
      <c r="A3" s="17" t="str">
        <f>CompCalc!H4</f>
        <v>Cu</v>
      </c>
      <c r="B3" s="17" t="str">
        <f>CompCalc!I4</f>
        <v>Cu</v>
      </c>
      <c r="C3" s="50">
        <f>CompCalc!J4</f>
        <v>2.201826671092067</v>
      </c>
      <c r="E3" s="17" t="str">
        <f>CompCalc!N4</f>
        <v>Cu</v>
      </c>
      <c r="F3" s="19">
        <f>CompCalc!O4</f>
        <v>2.201826671092067</v>
      </c>
      <c r="G3" s="19">
        <f>CompCalc!P4</f>
        <v>28.73697038752371</v>
      </c>
      <c r="H3" s="19">
        <f>CompCalc!Q4</f>
        <v>7.38650579308769</v>
      </c>
      <c r="J3" s="17" t="str">
        <f>CompCalc!H4</f>
        <v>Cu</v>
      </c>
      <c r="K3" s="19">
        <f>CompCalc!M4</f>
        <v>2.201826671092067</v>
      </c>
      <c r="L3" s="19">
        <f>CompCalc!C4</f>
        <v>28.73697038752371</v>
      </c>
      <c r="M3" s="19">
        <f>CompCalc!W4</f>
        <v>7.386505988428013</v>
      </c>
    </row>
    <row r="4" spans="1:13" ht="12.75">
      <c r="A4" s="17" t="str">
        <f>CompCalc!H5</f>
        <v>CC</v>
      </c>
      <c r="B4" s="17" t="str">
        <f>CompCalc!I5</f>
        <v>C</v>
      </c>
      <c r="C4" s="50">
        <f>CompCalc!J5</f>
        <v>1.8201113425309732</v>
      </c>
      <c r="E4" s="17" t="str">
        <f>CompCalc!N5</f>
        <v>C</v>
      </c>
      <c r="F4" s="19">
        <f>CompCalc!O5</f>
        <v>3.1703193935840948</v>
      </c>
      <c r="G4" s="19">
        <f>CompCalc!P5</f>
        <v>41.37717819869609</v>
      </c>
      <c r="H4" s="19">
        <f>CompCalc!Q5</f>
        <v>56.268842770155416</v>
      </c>
      <c r="J4" s="17" t="str">
        <f>CompCalc!H5</f>
        <v>CC</v>
      </c>
      <c r="K4" s="19">
        <f>CompCalc!M5</f>
        <v>1.8201113425309732</v>
      </c>
      <c r="L4" s="19">
        <f>CompCalc!C5</f>
        <v>23.75504231964204</v>
      </c>
      <c r="M4" s="19">
        <f>CompCalc!W5</f>
        <v>32.30449331785047</v>
      </c>
    </row>
    <row r="5" spans="1:13" ht="12.75">
      <c r="A5" s="17" t="str">
        <f>CompCalc!H6</f>
        <v>Si</v>
      </c>
      <c r="B5" s="17" t="str">
        <f>CompCalc!I6</f>
        <v>Si</v>
      </c>
      <c r="C5" s="50">
        <f>CompCalc!J6</f>
        <v>0.7842471662988513</v>
      </c>
      <c r="E5" s="17" t="str">
        <f>CompCalc!N6</f>
        <v>Si</v>
      </c>
      <c r="F5" s="19">
        <f>CompCalc!O6</f>
        <v>0.7842471662988513</v>
      </c>
      <c r="G5" s="19">
        <f>CompCalc!P6</f>
        <v>10.235541194190175</v>
      </c>
      <c r="H5" s="19">
        <f>CompCalc!Q6</f>
        <v>5.952606849229303</v>
      </c>
      <c r="J5" s="17" t="str">
        <f>CompCalc!H6</f>
        <v>Si</v>
      </c>
      <c r="K5" s="19">
        <f>CompCalc!M6</f>
        <v>0.7842471662988513</v>
      </c>
      <c r="L5" s="19">
        <f>CompCalc!C6</f>
        <v>10.235541194190175</v>
      </c>
      <c r="M5" s="19">
        <f>CompCalc!W6</f>
        <v>5.952607006649357</v>
      </c>
    </row>
    <row r="6" spans="1:13" ht="12.75">
      <c r="A6" s="17" t="str">
        <f>CompCalc!H7</f>
        <v>Kapton</v>
      </c>
      <c r="B6" s="17" t="str">
        <f>CompCalc!I7</f>
        <v>C</v>
      </c>
      <c r="C6" s="50">
        <f>CompCalc!J7</f>
        <v>0.5559640903125243</v>
      </c>
      <c r="E6" s="17" t="str">
        <f>CompCalc!N7</f>
        <v>H</v>
      </c>
      <c r="F6" s="19">
        <f>CompCalc!O7</f>
        <v>0.08785495418188555</v>
      </c>
      <c r="G6" s="19">
        <f>CompCalc!P7</f>
        <v>1.1466321349763187</v>
      </c>
      <c r="H6" s="19">
        <f>CompCalc!Q7</f>
        <v>18.582020911558196</v>
      </c>
      <c r="J6" s="17" t="str">
        <f>CompCalc!H7</f>
        <v>Kapton</v>
      </c>
      <c r="K6" s="19">
        <f>CompCalc!M10</f>
        <v>0.804423706295418</v>
      </c>
      <c r="L6" s="19">
        <f>CompCalc!C7</f>
        <v>10.498873744393343</v>
      </c>
      <c r="M6" s="19">
        <f>CompCalc!W10</f>
        <v>17.49256733634766</v>
      </c>
    </row>
    <row r="7" spans="1:13" ht="12.75">
      <c r="A7" s="17"/>
      <c r="B7" s="17" t="str">
        <f>CompCalc!I8</f>
        <v>H</v>
      </c>
      <c r="C7" s="50">
        <f>CompCalc!J8</f>
        <v>0.021206174893695678</v>
      </c>
      <c r="E7" s="17" t="str">
        <f>CompCalc!N8</f>
        <v>N</v>
      </c>
      <c r="F7" s="19">
        <f>CompCalc!O8</f>
        <v>0.10571028984944646</v>
      </c>
      <c r="G7" s="19">
        <f>CompCalc!P8</f>
        <v>1.3796696665289276</v>
      </c>
      <c r="H7" s="19">
        <f>CompCalc!Q8</f>
        <v>1.6088825064749461</v>
      </c>
      <c r="J7" s="17" t="str">
        <f>CompCalc!H11</f>
        <v>Adhesive</v>
      </c>
      <c r="K7" s="19">
        <f>CompCalc!M13</f>
        <v>0.7412875878478684</v>
      </c>
      <c r="L7" s="19">
        <f>CompCalc!C8</f>
        <v>9.674857580890999</v>
      </c>
      <c r="M7" s="19">
        <f>CompCalc!W13</f>
        <v>21.828582308299385</v>
      </c>
    </row>
    <row r="8" spans="1:13" ht="12.75">
      <c r="A8" s="17"/>
      <c r="B8" s="17" t="str">
        <f>CompCalc!I9</f>
        <v>N</v>
      </c>
      <c r="C8" s="50">
        <f>CompCalc!J9</f>
        <v>0.0589400793498417</v>
      </c>
      <c r="E8" s="17" t="str">
        <f>CompCalc!N9</f>
        <v>O</v>
      </c>
      <c r="F8" s="19">
        <f>CompCalc!O9</f>
        <v>0.5360367611101645</v>
      </c>
      <c r="G8" s="19">
        <f>CompCalc!P9</f>
        <v>6.996042301098466</v>
      </c>
      <c r="H8" s="19">
        <f>CompCalc!Q9</f>
        <v>7.1422493990265945</v>
      </c>
      <c r="J8" s="17" t="str">
        <f>CompCalc!H14</f>
        <v>AI203</v>
      </c>
      <c r="K8" s="19">
        <f>CompCalc!M15</f>
        <v>0.40656666676040154</v>
      </c>
      <c r="L8" s="19">
        <f>CompCalc!C9</f>
        <v>5.306273385022207</v>
      </c>
      <c r="M8" s="19">
        <f>CompCalc!W15</f>
        <v>4.250257470966901</v>
      </c>
    </row>
    <row r="9" spans="1:13" ht="12.75">
      <c r="A9" s="17"/>
      <c r="B9" s="17" t="str">
        <f>CompCalc!I10</f>
        <v>O</v>
      </c>
      <c r="C9" s="50">
        <f>CompCalc!J10</f>
        <v>0.16831336173935638</v>
      </c>
      <c r="E9" s="17" t="str">
        <f>CompCalc!N10</f>
        <v>Al</v>
      </c>
      <c r="F9" s="19">
        <f>CompCalc!O10</f>
        <v>0.30526651498074336</v>
      </c>
      <c r="G9" s="19">
        <f>CompCalc!P10</f>
        <v>3.984162294188767</v>
      </c>
      <c r="H9" s="19">
        <f>CompCalc!Q10</f>
        <v>2.411933112505987</v>
      </c>
      <c r="J9" s="17" t="str">
        <f>CompCalc!H16</f>
        <v>Plastic</v>
      </c>
      <c r="K9" s="19">
        <f>CompCalc!M18</f>
        <v>0.1734459044058928</v>
      </c>
      <c r="L9" s="19">
        <f>CompCalc!C10</f>
        <v>2.26371579751883</v>
      </c>
      <c r="M9" s="19">
        <f>CompCalc!W18</f>
        <v>5.107435039285266</v>
      </c>
    </row>
    <row r="10" spans="1:13" ht="12.75">
      <c r="A10" s="17" t="str">
        <f>CompCalc!H11</f>
        <v>Adhesive</v>
      </c>
      <c r="B10" s="17" t="str">
        <f>CompCalc!I11</f>
        <v>C</v>
      </c>
      <c r="C10" s="50">
        <f>CompCalc!J11</f>
        <v>0.5676340657789853</v>
      </c>
      <c r="E10" s="17" t="str">
        <f>CompCalc!N11</f>
        <v>Sn</v>
      </c>
      <c r="F10" s="19">
        <f>CompCalc!O11</f>
        <v>0.1544872148844166</v>
      </c>
      <c r="G10" s="19">
        <f>CompCalc!P11</f>
        <v>2.016277928535847</v>
      </c>
      <c r="H10" s="19">
        <f>CompCalc!Q11</f>
        <v>0.27742741282014916</v>
      </c>
      <c r="J10" s="17" t="str">
        <f>CompCalc!H19</f>
        <v>Sn/Pb</v>
      </c>
      <c r="K10" s="19">
        <f>CompCalc!M20</f>
        <v>0.4241338404766255</v>
      </c>
      <c r="L10" s="19">
        <f>CompCalc!C11</f>
        <v>5.535549993169218</v>
      </c>
      <c r="M10" s="19">
        <f>CompCalc!W20</f>
        <v>0.5548548403137478</v>
      </c>
    </row>
    <row r="11" spans="1:13" ht="12.75">
      <c r="A11" s="17"/>
      <c r="B11" s="17" t="str">
        <f>CompCalc!I12</f>
        <v>H</v>
      </c>
      <c r="C11" s="50">
        <f>CompCalc!J12</f>
        <v>0.04763286777942213</v>
      </c>
      <c r="E11" s="17" t="str">
        <f>CompCalc!N12</f>
        <v>Pb</v>
      </c>
      <c r="F11" s="19">
        <f>CompCalc!O12</f>
        <v>0.2696466255922089</v>
      </c>
      <c r="G11" s="19">
        <f>CompCalc!P12</f>
        <v>3.519272064633371</v>
      </c>
      <c r="H11" s="19">
        <f>CompCalc!Q12</f>
        <v>0.27742741282014916</v>
      </c>
      <c r="J11" s="17" t="str">
        <f>CompCalc!H21</f>
        <v>AIN</v>
      </c>
      <c r="K11" s="19">
        <f>CompCalc!M22</f>
        <v>0.1368630550508591</v>
      </c>
      <c r="L11" s="19">
        <f>CompCalc!C12</f>
        <v>1.7862575704888943</v>
      </c>
      <c r="M11" s="19">
        <f>CompCalc!W22</f>
        <v>1.4236603758083235</v>
      </c>
    </row>
    <row r="12" spans="1:13" ht="12.75">
      <c r="A12" s="17"/>
      <c r="B12" s="17" t="str">
        <f>CompCalc!I13</f>
        <v>O</v>
      </c>
      <c r="C12" s="50">
        <f>CompCalc!J13</f>
        <v>0.12602065428946102</v>
      </c>
      <c r="E12" s="17" t="str">
        <f>CompCalc!N13</f>
        <v>Ag</v>
      </c>
      <c r="F12" s="19">
        <f>CompCalc!O13</f>
        <v>0.04660440842612233</v>
      </c>
      <c r="G12" s="19">
        <f>CompCalc!P13</f>
        <v>0.6082538296283259</v>
      </c>
      <c r="H12" s="19">
        <f>CompCalc!Q13</f>
        <v>0.09210383232158777</v>
      </c>
      <c r="J12" s="17" t="str">
        <f>CompCalc!H23</f>
        <v>EotiteP102</v>
      </c>
      <c r="K12" s="19">
        <f>CompCalc!M26</f>
        <v>0.09837617281085366</v>
      </c>
      <c r="L12" s="19">
        <f>CompCalc!C13</f>
        <v>1.2839490056232532</v>
      </c>
      <c r="M12" s="19">
        <f>CompCalc!W26</f>
        <v>1.9546788062846754</v>
      </c>
    </row>
    <row r="13" spans="1:13" ht="12.75">
      <c r="A13" s="17" t="str">
        <f>CompCalc!H14</f>
        <v>AI203</v>
      </c>
      <c r="B13" s="17" t="str">
        <f>CompCalc!I14</f>
        <v>Al</v>
      </c>
      <c r="C13" s="50">
        <f>CompCalc!J14</f>
        <v>0.21517367042948904</v>
      </c>
      <c r="E13" s="17" t="str">
        <f>CompCalc!N14</f>
        <v>Summa</v>
      </c>
      <c r="F13" s="19">
        <f>CompCalc!O14</f>
        <v>7.662000000000001</v>
      </c>
      <c r="G13" s="19">
        <f>CompCalc!P14</f>
        <v>99.99999999999999</v>
      </c>
      <c r="H13" s="19">
        <f>CompCalc!Q14</f>
        <v>100</v>
      </c>
      <c r="J13" s="17" t="str">
        <f>CompCalc!H27</f>
        <v>AIT</v>
      </c>
      <c r="K13" s="19">
        <f>CompCalc!M30</f>
        <v>0.035297763001900975</v>
      </c>
      <c r="L13" s="19">
        <f>CompCalc!C14</f>
        <v>0.4606860219512004</v>
      </c>
      <c r="M13" s="19">
        <f>CompCalc!W30</f>
        <v>0.7013465484343684</v>
      </c>
    </row>
    <row r="14" spans="1:13" ht="12.75">
      <c r="A14" s="17"/>
      <c r="B14" s="17" t="str">
        <f>CompCalc!I15</f>
        <v>O</v>
      </c>
      <c r="C14" s="50">
        <f>CompCalc!J15</f>
        <v>0.19139299633091247</v>
      </c>
      <c r="J14" s="17" t="str">
        <f>CompCalc!H31</f>
        <v>scr. Epoxy</v>
      </c>
      <c r="K14" s="19">
        <f>CompCalc!M33</f>
        <v>0.035420123428289624</v>
      </c>
      <c r="L14" s="19">
        <f>CompCalc!C15</f>
        <v>0.46228299958613434</v>
      </c>
      <c r="M14" s="19">
        <f>CompCalc!W33</f>
        <v>1.0430109613318095</v>
      </c>
    </row>
    <row r="15" spans="1:13" ht="12.75">
      <c r="A15" s="17" t="str">
        <f>CompCalc!H16</f>
        <v>Plastic</v>
      </c>
      <c r="B15" s="17" t="str">
        <f>CompCalc!I16</f>
        <v>C</v>
      </c>
      <c r="C15" s="50">
        <f>CompCalc!J16</f>
        <v>0.13281458576213936</v>
      </c>
      <c r="J15" s="17" t="str">
        <f>CompCalc!H34</f>
        <v>Summa</v>
      </c>
      <c r="K15" s="19">
        <f>SUM(K3:K14)</f>
        <v>7.662000000000001</v>
      </c>
      <c r="L15" s="19">
        <f>SUM(L3:L14)</f>
        <v>100.00000000000001</v>
      </c>
      <c r="M15" s="19">
        <f>SUM(M3:M14)</f>
        <v>100</v>
      </c>
    </row>
    <row r="16" spans="1:3" ht="12.75">
      <c r="A16" s="17"/>
      <c r="B16" s="17" t="str">
        <f>CompCalc!I17</f>
        <v>H</v>
      </c>
      <c r="C16" s="50">
        <f>CompCalc!J17</f>
        <v>0.011145102072238802</v>
      </c>
    </row>
    <row r="17" spans="1:3" ht="12.75">
      <c r="A17" s="17"/>
      <c r="B17" s="17" t="str">
        <f>CompCalc!I18</f>
        <v>O</v>
      </c>
      <c r="C17" s="50">
        <f>CompCalc!J18</f>
        <v>0.02948621657151462</v>
      </c>
    </row>
    <row r="18" spans="1:3" ht="12.75">
      <c r="A18" s="17" t="str">
        <f>CompCalc!H19</f>
        <v>Sn/Pb</v>
      </c>
      <c r="B18" s="17" t="str">
        <f>CompCalc!I19</f>
        <v>Sn</v>
      </c>
      <c r="C18" s="50">
        <f>CompCalc!J19</f>
        <v>0.1544872148844166</v>
      </c>
    </row>
    <row r="19" spans="1:3" ht="12.75">
      <c r="A19" s="17"/>
      <c r="B19" s="17" t="str">
        <f>CompCalc!I20</f>
        <v>Pb</v>
      </c>
      <c r="C19" s="50">
        <f>CompCalc!J20</f>
        <v>0.2696466255922089</v>
      </c>
    </row>
    <row r="20" spans="1:3" ht="12.75">
      <c r="A20" s="17" t="str">
        <f>CompCalc!H21</f>
        <v>AIN</v>
      </c>
      <c r="B20" s="17" t="str">
        <f>CompCalc!I21</f>
        <v>Al</v>
      </c>
      <c r="C20" s="50">
        <f>CompCalc!J21</f>
        <v>0.09009284455125434</v>
      </c>
    </row>
    <row r="21" spans="1:3" ht="12.75">
      <c r="A21" s="17"/>
      <c r="B21" s="17" t="str">
        <f>CompCalc!I22</f>
        <v>N</v>
      </c>
      <c r="C21" s="50">
        <f>CompCalc!J22</f>
        <v>0.04677021049960476</v>
      </c>
    </row>
    <row r="22" spans="1:3" ht="12.75">
      <c r="A22" s="17" t="str">
        <f>CompCalc!H23</f>
        <v>EotiteP102</v>
      </c>
      <c r="B22" s="17" t="str">
        <f>CompCalc!I23</f>
        <v>C</v>
      </c>
      <c r="C22" s="50">
        <f>CompCalc!J23</f>
        <v>0.049067179852214544</v>
      </c>
    </row>
    <row r="23" spans="1:3" ht="12.75">
      <c r="A23" s="17"/>
      <c r="B23" s="17" t="str">
        <f>CompCalc!I24</f>
        <v>H</v>
      </c>
      <c r="C23" s="50">
        <f>CompCalc!J24</f>
        <v>0.004117459876200736</v>
      </c>
    </row>
    <row r="24" spans="1:3" ht="12.75">
      <c r="A24" s="17"/>
      <c r="B24" s="17" t="str">
        <f>CompCalc!I25</f>
        <v>O</v>
      </c>
      <c r="C24" s="50">
        <f>CompCalc!J25</f>
        <v>0.010893423213825124</v>
      </c>
    </row>
    <row r="25" spans="1:3" ht="12.75">
      <c r="A25" s="17"/>
      <c r="B25" s="17" t="str">
        <f>CompCalc!I26</f>
        <v>Ag</v>
      </c>
      <c r="C25" s="50">
        <f>CompCalc!J26</f>
        <v>0.03429810986861326</v>
      </c>
    </row>
    <row r="26" spans="1:3" ht="12.75">
      <c r="A26" s="17" t="str">
        <f>CompCalc!H27</f>
        <v>AIT</v>
      </c>
      <c r="B26" s="17" t="str">
        <f>CompCalc!I27</f>
        <v>C</v>
      </c>
      <c r="C26" s="50">
        <f>CompCalc!J27</f>
        <v>0.017605499747638437</v>
      </c>
    </row>
    <row r="27" spans="1:3" ht="12.75">
      <c r="A27" s="17"/>
      <c r="B27" s="17" t="str">
        <f>CompCalc!I28</f>
        <v>H</v>
      </c>
      <c r="C27" s="50">
        <f>CompCalc!J28</f>
        <v>0.0014773610187032537</v>
      </c>
    </row>
    <row r="28" spans="1:3" ht="12.75">
      <c r="A28" s="17"/>
      <c r="B28" s="17" t="str">
        <f>CompCalc!I29</f>
        <v>O</v>
      </c>
      <c r="C28" s="50">
        <f>CompCalc!J29</f>
        <v>0.00390860367805021</v>
      </c>
    </row>
    <row r="29" spans="1:3" ht="12.75">
      <c r="A29" s="17"/>
      <c r="B29" s="17" t="str">
        <f>CompCalc!I30</f>
        <v>Ag</v>
      </c>
      <c r="C29" s="50">
        <f>CompCalc!J30</f>
        <v>0.012306298557509074</v>
      </c>
    </row>
    <row r="30" spans="1:3" ht="12.75">
      <c r="A30" s="17" t="str">
        <f>CompCalc!H31</f>
        <v>scr. Epoxy</v>
      </c>
      <c r="B30" s="17" t="str">
        <f>CompCalc!I31</f>
        <v>C</v>
      </c>
      <c r="C30" s="50">
        <f>CompCalc!J31</f>
        <v>0.02712262959962003</v>
      </c>
    </row>
    <row r="31" spans="1:3" ht="12.75">
      <c r="A31" s="17"/>
      <c r="B31" s="17" t="str">
        <f>CompCalc!I32</f>
        <v>H</v>
      </c>
      <c r="C31" s="50">
        <f>CompCalc!J32</f>
        <v>0.002275988541624929</v>
      </c>
    </row>
    <row r="32" spans="1:3" ht="12.75">
      <c r="A32" s="17"/>
      <c r="B32" s="17" t="str">
        <f>CompCalc!I33</f>
        <v>O</v>
      </c>
      <c r="C32" s="50">
        <f>CompCalc!J33</f>
        <v>0.006021505287044662</v>
      </c>
    </row>
    <row r="33" spans="1:3" ht="12.75">
      <c r="A33" s="17" t="str">
        <f>CompCalc!H34</f>
        <v>Summa</v>
      </c>
      <c r="B33" s="17"/>
      <c r="C33" s="50">
        <f>CompCalc!J34</f>
        <v>7.662</v>
      </c>
    </row>
  </sheetData>
  <mergeCells count="3">
    <mergeCell ref="A1:C1"/>
    <mergeCell ref="E1:H1"/>
    <mergeCell ref="J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Kodys</dc:creator>
  <cp:keywords/>
  <dc:description/>
  <cp:lastModifiedBy>Peter Kodys</cp:lastModifiedBy>
  <dcterms:created xsi:type="dcterms:W3CDTF">2005-07-28T14:18:30Z</dcterms:created>
  <dcterms:modified xsi:type="dcterms:W3CDTF">2005-08-01T07:20:12Z</dcterms:modified>
  <cp:category/>
  <cp:version/>
  <cp:contentType/>
  <cp:contentStatus/>
</cp:coreProperties>
</file>